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05" yWindow="30" windowWidth="10410" windowHeight="10065" tabRatio="601"/>
  </bookViews>
  <sheets>
    <sheet name="Budget" sheetId="5" r:id="rId1"/>
    <sheet name="Revenue Input" sheetId="8" r:id="rId2"/>
    <sheet name="Payroll Input" sheetId="1" r:id="rId3"/>
    <sheet name="Expense Input" sheetId="6" r:id="rId4"/>
    <sheet name="FY16" sheetId="25" state="hidden" r:id="rId5"/>
    <sheet name="FY16DJB" sheetId="22" state="hidden" r:id="rId6"/>
    <sheet name="PR" sheetId="2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1_0g">[1]SUMMARY!#REF!</definedName>
    <definedName name="_2g">[1]SUMMARY!#REF!</definedName>
    <definedName name="_xlnm._FilterDatabase" localSheetId="0" hidden="1">Budget!$J$1:$J$341</definedName>
    <definedName name="_xlnm._FilterDatabase" localSheetId="3" hidden="1">'Expense Input'!$M$1:$M$91</definedName>
    <definedName name="_xlnm._FilterDatabase" localSheetId="2" hidden="1">'Payroll Input'!$N$1:$N$149</definedName>
    <definedName name="_xlnm._FilterDatabase" localSheetId="1" hidden="1">'Revenue Input'!$M$1:$M$170</definedName>
    <definedName name="_grp1">[2]SUMMARY!#REF!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_grp1">[1]SUMMARY!#REF!</definedName>
    <definedName name="EnrNew">'Revenue Input'!$J$31</definedName>
    <definedName name="EnrOld">'Revenue Input'!$J$30</definedName>
    <definedName name="ExpInf">#REF!</definedName>
    <definedName name="GSFA" localSheetId="0">[3]PBEDL!#REF!</definedName>
    <definedName name="GSFA" localSheetId="3">[3]PBEDL!#REF!</definedName>
    <definedName name="GSFA">[4]Data!#REF!</definedName>
    <definedName name="HTML_CodePage" hidden="1">1252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nf">'Revenue Input'!$J$32</definedName>
    <definedName name="Mgr" localSheetId="0">[3]PBEDL!#REF!</definedName>
    <definedName name="Mgr" localSheetId="3">[3]PBEDL!#REF!</definedName>
    <definedName name="Mgr">[4]Data!#REF!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int">'[5]Forecast WS'!$A$6:$R$142</definedName>
    <definedName name="_xlnm.Print_Titles" localSheetId="0">Budget!$1:$8</definedName>
    <definedName name="_xlnm.Print_Titles" localSheetId="3">'Expense Input'!$1:$9</definedName>
    <definedName name="_xlnm.Print_Titles" localSheetId="2">'Payroll Input'!$11:$13</definedName>
    <definedName name="RevInf">#REF!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45621"/>
</workbook>
</file>

<file path=xl/calcChain.xml><?xml version="1.0" encoding="utf-8"?>
<calcChain xmlns="http://schemas.openxmlformats.org/spreadsheetml/2006/main">
  <c r="E137" i="1" l="1"/>
  <c r="E92" i="1"/>
  <c r="E84" i="1"/>
  <c r="E24" i="1"/>
  <c r="G137" i="1"/>
  <c r="J137" i="1"/>
  <c r="D177" i="5"/>
  <c r="D176" i="5"/>
  <c r="D175" i="5"/>
  <c r="D174" i="5"/>
  <c r="D173" i="5"/>
  <c r="D172" i="5"/>
  <c r="O177" i="5"/>
  <c r="N177" i="5"/>
  <c r="M177" i="5"/>
  <c r="O176" i="5"/>
  <c r="N176" i="5"/>
  <c r="M176" i="5"/>
  <c r="O175" i="5"/>
  <c r="N175" i="5"/>
  <c r="M175" i="5"/>
  <c r="O174" i="5"/>
  <c r="N174" i="5"/>
  <c r="M174" i="5"/>
  <c r="O173" i="5"/>
  <c r="N173" i="5"/>
  <c r="M173" i="5"/>
  <c r="O172" i="5"/>
  <c r="N172" i="5"/>
  <c r="M172" i="5"/>
  <c r="E88" i="1"/>
  <c r="G172" i="5" s="1"/>
  <c r="J172" i="5" s="1"/>
  <c r="D88" i="1"/>
  <c r="A88" i="1"/>
  <c r="L87" i="1"/>
  <c r="K87" i="1"/>
  <c r="I87" i="1"/>
  <c r="H87" i="1"/>
  <c r="F87" i="1"/>
  <c r="L86" i="1"/>
  <c r="L88" i="1" s="1"/>
  <c r="G177" i="5" s="1"/>
  <c r="J177" i="5" s="1"/>
  <c r="K86" i="1"/>
  <c r="I86" i="1"/>
  <c r="I88" i="1" s="1"/>
  <c r="G175" i="5" s="1"/>
  <c r="J175" i="5" s="1"/>
  <c r="H86" i="1"/>
  <c r="F86" i="1"/>
  <c r="F88" i="1" s="1"/>
  <c r="G173" i="5" s="1"/>
  <c r="J173" i="5" s="1"/>
  <c r="I85" i="1"/>
  <c r="E105" i="1"/>
  <c r="H88" i="1" l="1"/>
  <c r="M87" i="1"/>
  <c r="K88" i="1"/>
  <c r="G176" i="5" s="1"/>
  <c r="J176" i="5" s="1"/>
  <c r="G174" i="5"/>
  <c r="J174" i="5" s="1"/>
  <c r="L177" i="5"/>
  <c r="H172" i="5"/>
  <c r="H173" i="5"/>
  <c r="I173" i="5" s="1"/>
  <c r="H177" i="5"/>
  <c r="I177" i="5" s="1"/>
  <c r="L172" i="5"/>
  <c r="L173" i="5"/>
  <c r="L175" i="5"/>
  <c r="H174" i="5"/>
  <c r="I174" i="5" s="1"/>
  <c r="H175" i="5"/>
  <c r="I175" i="5" s="1"/>
  <c r="M86" i="1"/>
  <c r="J24" i="6"/>
  <c r="J23" i="6"/>
  <c r="J38" i="6"/>
  <c r="H176" i="5" l="1"/>
  <c r="I176" i="5" s="1"/>
  <c r="L176" i="5"/>
  <c r="G181" i="5"/>
  <c r="I172" i="5"/>
  <c r="L174" i="5"/>
  <c r="N86" i="1"/>
  <c r="M88" i="1"/>
  <c r="N88" i="1" s="1"/>
  <c r="J16" i="6"/>
  <c r="J15" i="8"/>
  <c r="J13" i="8"/>
  <c r="J14" i="8"/>
  <c r="E41" i="1" l="1"/>
  <c r="I135" i="1"/>
  <c r="I134" i="1"/>
  <c r="I133" i="1"/>
  <c r="I132" i="1"/>
  <c r="I131" i="1"/>
  <c r="I130" i="1"/>
  <c r="I129" i="1"/>
  <c r="I128" i="1"/>
  <c r="I127" i="1"/>
  <c r="I126" i="1"/>
  <c r="I125" i="1"/>
  <c r="I122" i="1"/>
  <c r="I121" i="1"/>
  <c r="I120" i="1"/>
  <c r="I119" i="1"/>
  <c r="I116" i="1"/>
  <c r="I115" i="1"/>
  <c r="I114" i="1"/>
  <c r="I113" i="1"/>
  <c r="I112" i="1"/>
  <c r="I111" i="1"/>
  <c r="I108" i="1"/>
  <c r="I107" i="1"/>
  <c r="I106" i="1"/>
  <c r="I105" i="1"/>
  <c r="I104" i="1"/>
  <c r="I103" i="1"/>
  <c r="I102" i="1"/>
  <c r="I101" i="1"/>
  <c r="I100" i="1"/>
  <c r="I99" i="1"/>
  <c r="I96" i="1"/>
  <c r="I95" i="1"/>
  <c r="I94" i="1"/>
  <c r="I91" i="1"/>
  <c r="I90" i="1"/>
  <c r="I83" i="1"/>
  <c r="I82" i="1"/>
  <c r="I81" i="1"/>
  <c r="I79" i="1"/>
  <c r="I78" i="1"/>
  <c r="I75" i="1"/>
  <c r="I74" i="1"/>
  <c r="I73" i="1"/>
  <c r="I72" i="1"/>
  <c r="I71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0" i="1"/>
  <c r="I49" i="1"/>
  <c r="I48" i="1"/>
  <c r="I47" i="1"/>
  <c r="I46" i="1"/>
  <c r="I45" i="1"/>
  <c r="I42" i="1"/>
  <c r="I41" i="1"/>
  <c r="I40" i="1"/>
  <c r="I39" i="1"/>
  <c r="I38" i="1"/>
  <c r="I37" i="1"/>
  <c r="I23" i="1"/>
  <c r="I22" i="1"/>
  <c r="I21" i="1"/>
  <c r="I20" i="1"/>
  <c r="I19" i="1"/>
  <c r="I18" i="1"/>
  <c r="I17" i="1"/>
  <c r="I16" i="1"/>
  <c r="I15" i="1"/>
  <c r="I14" i="1"/>
  <c r="I24" i="1" l="1"/>
  <c r="I109" i="1"/>
  <c r="I43" i="1"/>
  <c r="L104" i="1"/>
  <c r="L103" i="1"/>
  <c r="L102" i="1"/>
  <c r="L101" i="1"/>
  <c r="L95" i="1"/>
  <c r="L90" i="1"/>
  <c r="L83" i="1"/>
  <c r="L46" i="1"/>
  <c r="L45" i="1"/>
  <c r="L41" i="1"/>
  <c r="L40" i="1"/>
  <c r="L39" i="1"/>
  <c r="L38" i="1"/>
  <c r="L37" i="1"/>
  <c r="L15" i="1"/>
  <c r="L16" i="1"/>
  <c r="L17" i="1"/>
  <c r="L18" i="1"/>
  <c r="L19" i="1"/>
  <c r="L20" i="1"/>
  <c r="L21" i="1"/>
  <c r="L22" i="1"/>
  <c r="L23" i="1"/>
  <c r="L14" i="1"/>
  <c r="K104" i="1"/>
  <c r="K103" i="1"/>
  <c r="K102" i="1"/>
  <c r="K101" i="1"/>
  <c r="K95" i="1"/>
  <c r="K91" i="1"/>
  <c r="M91" i="1" s="1"/>
  <c r="K90" i="1"/>
  <c r="K83" i="1"/>
  <c r="K46" i="1"/>
  <c r="K45" i="1"/>
  <c r="K41" i="1"/>
  <c r="K40" i="1"/>
  <c r="K39" i="1"/>
  <c r="K38" i="1"/>
  <c r="K37" i="1"/>
  <c r="K15" i="1"/>
  <c r="K16" i="1"/>
  <c r="K17" i="1"/>
  <c r="K18" i="1"/>
  <c r="K19" i="1"/>
  <c r="K20" i="1"/>
  <c r="K21" i="1"/>
  <c r="K22" i="1"/>
  <c r="K23" i="1"/>
  <c r="K14" i="1"/>
  <c r="F41" i="1"/>
  <c r="F104" i="1"/>
  <c r="F103" i="1"/>
  <c r="F102" i="1"/>
  <c r="F101" i="1"/>
  <c r="F95" i="1"/>
  <c r="F90" i="1"/>
  <c r="F83" i="1"/>
  <c r="F46" i="1"/>
  <c r="F45" i="1"/>
  <c r="F40" i="1"/>
  <c r="F39" i="1"/>
  <c r="F38" i="1"/>
  <c r="F37" i="1"/>
  <c r="F15" i="1"/>
  <c r="F16" i="1"/>
  <c r="F17" i="1"/>
  <c r="F18" i="1"/>
  <c r="F19" i="1"/>
  <c r="F20" i="1"/>
  <c r="F21" i="1"/>
  <c r="F22" i="1"/>
  <c r="F23" i="1"/>
  <c r="F14" i="1"/>
  <c r="G339" i="5" l="1"/>
  <c r="I17" i="24" l="1"/>
  <c r="I6" i="24"/>
  <c r="I13" i="24"/>
  <c r="I8" i="24"/>
  <c r="I22" i="24" l="1"/>
  <c r="E126" i="1" l="1"/>
  <c r="E127" i="1"/>
  <c r="E128" i="1"/>
  <c r="E129" i="1"/>
  <c r="E130" i="1"/>
  <c r="E131" i="1"/>
  <c r="E132" i="1"/>
  <c r="E133" i="1"/>
  <c r="E134" i="1"/>
  <c r="E135" i="1"/>
  <c r="E112" i="1"/>
  <c r="E113" i="1"/>
  <c r="E114" i="1"/>
  <c r="E115" i="1"/>
  <c r="E116" i="1"/>
  <c r="E111" i="1"/>
  <c r="E100" i="1"/>
  <c r="H101" i="1"/>
  <c r="M101" i="1" s="1"/>
  <c r="H102" i="1"/>
  <c r="M102" i="1" s="1"/>
  <c r="H103" i="1"/>
  <c r="M103" i="1" s="1"/>
  <c r="H104" i="1"/>
  <c r="M104" i="1" s="1"/>
  <c r="E106" i="1"/>
  <c r="E107" i="1"/>
  <c r="E108" i="1"/>
  <c r="E99" i="1"/>
  <c r="H95" i="1"/>
  <c r="M95" i="1" s="1"/>
  <c r="E94" i="1"/>
  <c r="E97" i="1" s="1"/>
  <c r="E78" i="1"/>
  <c r="E75" i="1"/>
  <c r="E74" i="1"/>
  <c r="E73" i="1"/>
  <c r="E72" i="1"/>
  <c r="E71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H46" i="1"/>
  <c r="M46" i="1" s="1"/>
  <c r="E47" i="1"/>
  <c r="E48" i="1"/>
  <c r="E49" i="1"/>
  <c r="E50" i="1"/>
  <c r="H39" i="1"/>
  <c r="M39" i="1" s="1"/>
  <c r="H40" i="1"/>
  <c r="M40" i="1" s="1"/>
  <c r="H41" i="1"/>
  <c r="M41" i="1" s="1"/>
  <c r="E42" i="1"/>
  <c r="E43" i="1" s="1"/>
  <c r="H38" i="1"/>
  <c r="M38" i="1" s="1"/>
  <c r="E51" i="1" l="1"/>
  <c r="E109" i="1"/>
  <c r="H47" i="1"/>
  <c r="L47" i="1"/>
  <c r="F47" i="1"/>
  <c r="K47" i="1"/>
  <c r="H65" i="1"/>
  <c r="L65" i="1"/>
  <c r="F65" i="1"/>
  <c r="K65" i="1"/>
  <c r="H61" i="1"/>
  <c r="K61" i="1"/>
  <c r="F61" i="1"/>
  <c r="L61" i="1"/>
  <c r="H57" i="1"/>
  <c r="L57" i="1"/>
  <c r="K57" i="1"/>
  <c r="F57" i="1"/>
  <c r="F71" i="1"/>
  <c r="L71" i="1"/>
  <c r="K71" i="1"/>
  <c r="H75" i="1"/>
  <c r="L75" i="1"/>
  <c r="K75" i="1"/>
  <c r="F75" i="1"/>
  <c r="H96" i="1"/>
  <c r="K96" i="1"/>
  <c r="F96" i="1"/>
  <c r="H107" i="1"/>
  <c r="K107" i="1"/>
  <c r="F107" i="1"/>
  <c r="L107" i="1"/>
  <c r="L111" i="1"/>
  <c r="F111" i="1"/>
  <c r="K111" i="1"/>
  <c r="H113" i="1"/>
  <c r="F113" i="1"/>
  <c r="L113" i="1"/>
  <c r="K113" i="1"/>
  <c r="H133" i="1"/>
  <c r="F133" i="1"/>
  <c r="L133" i="1"/>
  <c r="H129" i="1"/>
  <c r="F129" i="1"/>
  <c r="L129" i="1"/>
  <c r="H42" i="1"/>
  <c r="L42" i="1"/>
  <c r="K42" i="1"/>
  <c r="F42" i="1"/>
  <c r="H50" i="1"/>
  <c r="K50" i="1"/>
  <c r="L50" i="1"/>
  <c r="F50" i="1"/>
  <c r="H64" i="1"/>
  <c r="K64" i="1"/>
  <c r="L64" i="1"/>
  <c r="F64" i="1"/>
  <c r="H60" i="1"/>
  <c r="K60" i="1"/>
  <c r="F60" i="1"/>
  <c r="L60" i="1"/>
  <c r="H56" i="1"/>
  <c r="K56" i="1"/>
  <c r="L56" i="1"/>
  <c r="F56" i="1"/>
  <c r="H72" i="1"/>
  <c r="L72" i="1"/>
  <c r="F72" i="1"/>
  <c r="K72" i="1"/>
  <c r="L78" i="1"/>
  <c r="F78" i="1"/>
  <c r="K78" i="1"/>
  <c r="H106" i="1"/>
  <c r="K106" i="1"/>
  <c r="F106" i="1"/>
  <c r="L106" i="1"/>
  <c r="H116" i="1"/>
  <c r="K116" i="1"/>
  <c r="L116" i="1"/>
  <c r="F116" i="1"/>
  <c r="H112" i="1"/>
  <c r="K112" i="1"/>
  <c r="L112" i="1"/>
  <c r="F112" i="1"/>
  <c r="H132" i="1"/>
  <c r="L132" i="1"/>
  <c r="F132" i="1"/>
  <c r="H128" i="1"/>
  <c r="F128" i="1"/>
  <c r="L128" i="1"/>
  <c r="H49" i="1"/>
  <c r="L49" i="1"/>
  <c r="F49" i="1"/>
  <c r="K49" i="1"/>
  <c r="H67" i="1"/>
  <c r="L67" i="1"/>
  <c r="F67" i="1"/>
  <c r="K67" i="1"/>
  <c r="H63" i="1"/>
  <c r="L63" i="1"/>
  <c r="F63" i="1"/>
  <c r="K63" i="1"/>
  <c r="H59" i="1"/>
  <c r="L59" i="1"/>
  <c r="F59" i="1"/>
  <c r="K59" i="1"/>
  <c r="H55" i="1"/>
  <c r="L55" i="1"/>
  <c r="F55" i="1"/>
  <c r="K55" i="1"/>
  <c r="H73" i="1"/>
  <c r="L73" i="1"/>
  <c r="F73" i="1"/>
  <c r="K73" i="1"/>
  <c r="L82" i="1"/>
  <c r="F82" i="1"/>
  <c r="K82" i="1"/>
  <c r="L99" i="1"/>
  <c r="F99" i="1"/>
  <c r="K99" i="1"/>
  <c r="H105" i="1"/>
  <c r="L105" i="1"/>
  <c r="K105" i="1"/>
  <c r="F105" i="1"/>
  <c r="H115" i="1"/>
  <c r="L115" i="1"/>
  <c r="F115" i="1"/>
  <c r="K115" i="1"/>
  <c r="H135" i="1"/>
  <c r="L135" i="1"/>
  <c r="F135" i="1"/>
  <c r="H131" i="1"/>
  <c r="L131" i="1"/>
  <c r="F131" i="1"/>
  <c r="H127" i="1"/>
  <c r="L127" i="1"/>
  <c r="F127" i="1"/>
  <c r="H48" i="1"/>
  <c r="L48" i="1"/>
  <c r="K48" i="1"/>
  <c r="F48" i="1"/>
  <c r="H66" i="1"/>
  <c r="L66" i="1"/>
  <c r="K66" i="1"/>
  <c r="F66" i="1"/>
  <c r="H62" i="1"/>
  <c r="L62" i="1"/>
  <c r="K62" i="1"/>
  <c r="F62" i="1"/>
  <c r="H58" i="1"/>
  <c r="L58" i="1"/>
  <c r="F58" i="1"/>
  <c r="K58" i="1"/>
  <c r="H54" i="1"/>
  <c r="L54" i="1"/>
  <c r="F54" i="1"/>
  <c r="K54" i="1"/>
  <c r="H74" i="1"/>
  <c r="K74" i="1"/>
  <c r="L74" i="1"/>
  <c r="F74" i="1"/>
  <c r="L94" i="1"/>
  <c r="F94" i="1"/>
  <c r="K94" i="1"/>
  <c r="H108" i="1"/>
  <c r="L108" i="1"/>
  <c r="F108" i="1"/>
  <c r="K108" i="1"/>
  <c r="H100" i="1"/>
  <c r="L100" i="1"/>
  <c r="F100" i="1"/>
  <c r="K100" i="1"/>
  <c r="H114" i="1"/>
  <c r="K114" i="1"/>
  <c r="L114" i="1"/>
  <c r="F114" i="1"/>
  <c r="H134" i="1"/>
  <c r="L134" i="1"/>
  <c r="F134" i="1"/>
  <c r="H130" i="1"/>
  <c r="L130" i="1"/>
  <c r="F130" i="1"/>
  <c r="H126" i="1"/>
  <c r="L126" i="1"/>
  <c r="K126" i="1"/>
  <c r="F126" i="1"/>
  <c r="H14" i="1"/>
  <c r="M14" i="1" s="1"/>
  <c r="H16" i="1"/>
  <c r="M16" i="1" s="1"/>
  <c r="H19" i="1"/>
  <c r="M19" i="1" s="1"/>
  <c r="H15" i="1"/>
  <c r="M15" i="1" s="1"/>
  <c r="H21" i="1"/>
  <c r="M21" i="1" s="1"/>
  <c r="H23" i="1"/>
  <c r="M23" i="1" s="1"/>
  <c r="H22" i="1"/>
  <c r="M22" i="1" s="1"/>
  <c r="H20" i="1"/>
  <c r="M20" i="1" s="1"/>
  <c r="H18" i="1"/>
  <c r="M18" i="1" s="1"/>
  <c r="H17" i="1"/>
  <c r="M17" i="1" s="1"/>
  <c r="J38" i="8"/>
  <c r="J39" i="8" s="1"/>
  <c r="J43" i="8" s="1"/>
  <c r="M74" i="1" l="1"/>
  <c r="M106" i="1"/>
  <c r="M56" i="1"/>
  <c r="M64" i="1"/>
  <c r="M50" i="1"/>
  <c r="M107" i="1"/>
  <c r="M61" i="1"/>
  <c r="M126" i="1"/>
  <c r="M54" i="1"/>
  <c r="M58" i="1"/>
  <c r="M62" i="1"/>
  <c r="M66" i="1"/>
  <c r="M73" i="1"/>
  <c r="M55" i="1"/>
  <c r="M59" i="1"/>
  <c r="M63" i="1"/>
  <c r="M67" i="1"/>
  <c r="M49" i="1"/>
  <c r="M112" i="1"/>
  <c r="M116" i="1"/>
  <c r="M113" i="1"/>
  <c r="M48" i="1"/>
  <c r="M115" i="1"/>
  <c r="M105" i="1"/>
  <c r="M72" i="1"/>
  <c r="M57" i="1"/>
  <c r="M65" i="1"/>
  <c r="M47" i="1"/>
  <c r="M114" i="1"/>
  <c r="M100" i="1"/>
  <c r="M108" i="1"/>
  <c r="M60" i="1"/>
  <c r="M42" i="1"/>
  <c r="M96" i="1"/>
  <c r="M75" i="1"/>
  <c r="J44" i="8"/>
  <c r="J45" i="8" s="1"/>
  <c r="J46" i="8" s="1"/>
  <c r="J10" i="8" s="1"/>
  <c r="E147" i="1"/>
  <c r="F141" i="1" s="1"/>
  <c r="J23" i="25"/>
  <c r="J22" i="25"/>
  <c r="J21" i="25"/>
  <c r="J20" i="25"/>
  <c r="J19" i="25"/>
  <c r="J18" i="25"/>
  <c r="K20" i="25" s="1"/>
  <c r="K22" i="25" l="1"/>
  <c r="K19" i="25"/>
  <c r="K23" i="25"/>
  <c r="K21" i="25"/>
  <c r="J36" i="6"/>
  <c r="I21" i="24"/>
  <c r="I19" i="24"/>
  <c r="I11" i="24"/>
  <c r="J79" i="5" l="1"/>
  <c r="B292" i="5"/>
  <c r="C292" i="5"/>
  <c r="D292" i="5"/>
  <c r="E292" i="5"/>
  <c r="F292" i="5"/>
  <c r="B293" i="5"/>
  <c r="C293" i="5"/>
  <c r="D293" i="5"/>
  <c r="E293" i="5"/>
  <c r="F293" i="5"/>
  <c r="B294" i="5"/>
  <c r="C294" i="5"/>
  <c r="D294" i="5"/>
  <c r="E294" i="5"/>
  <c r="F294" i="5"/>
  <c r="B295" i="5"/>
  <c r="C295" i="5"/>
  <c r="D295" i="5"/>
  <c r="E295" i="5"/>
  <c r="F295" i="5"/>
  <c r="B296" i="5"/>
  <c r="C296" i="5"/>
  <c r="D296" i="5"/>
  <c r="E296" i="5"/>
  <c r="F296" i="5"/>
  <c r="B297" i="5"/>
  <c r="C297" i="5"/>
  <c r="D297" i="5"/>
  <c r="E297" i="5"/>
  <c r="F297" i="5"/>
  <c r="B298" i="5"/>
  <c r="C298" i="5"/>
  <c r="D298" i="5"/>
  <c r="E298" i="5"/>
  <c r="F298" i="5"/>
  <c r="C258" i="5"/>
  <c r="D258" i="5"/>
  <c r="E258" i="5"/>
  <c r="F258" i="5"/>
  <c r="B258" i="5"/>
  <c r="B230" i="5"/>
  <c r="C230" i="5"/>
  <c r="D230" i="5"/>
  <c r="E230" i="5"/>
  <c r="F230" i="5"/>
  <c r="B231" i="5"/>
  <c r="C231" i="5"/>
  <c r="D231" i="5"/>
  <c r="E231" i="5"/>
  <c r="F231" i="5"/>
  <c r="B232" i="5"/>
  <c r="C232" i="5"/>
  <c r="D232" i="5"/>
  <c r="E232" i="5"/>
  <c r="F232" i="5"/>
  <c r="B233" i="5"/>
  <c r="C233" i="5"/>
  <c r="D233" i="5"/>
  <c r="E233" i="5"/>
  <c r="F233" i="5"/>
  <c r="B234" i="5"/>
  <c r="C234" i="5"/>
  <c r="D234" i="5"/>
  <c r="E234" i="5"/>
  <c r="F234" i="5"/>
  <c r="B235" i="5"/>
  <c r="C235" i="5"/>
  <c r="D235" i="5"/>
  <c r="E235" i="5"/>
  <c r="F235" i="5"/>
  <c r="J227" i="5"/>
  <c r="J228" i="5"/>
  <c r="B197" i="5"/>
  <c r="C197" i="5"/>
  <c r="D197" i="5"/>
  <c r="E197" i="5"/>
  <c r="F197" i="5"/>
  <c r="G197" i="5"/>
  <c r="I197" i="5" s="1"/>
  <c r="H197" i="5"/>
  <c r="B198" i="5"/>
  <c r="C198" i="5"/>
  <c r="D198" i="5"/>
  <c r="E198" i="5"/>
  <c r="F198" i="5"/>
  <c r="B199" i="5"/>
  <c r="C199" i="5"/>
  <c r="D199" i="5"/>
  <c r="E199" i="5"/>
  <c r="F199" i="5"/>
  <c r="B200" i="5"/>
  <c r="C200" i="5"/>
  <c r="D200" i="5"/>
  <c r="E200" i="5"/>
  <c r="F200" i="5"/>
  <c r="C157" i="5"/>
  <c r="D157" i="5"/>
  <c r="E157" i="5"/>
  <c r="F157" i="5"/>
  <c r="B157" i="5"/>
  <c r="J144" i="5"/>
  <c r="H131" i="5"/>
  <c r="I131" i="5"/>
  <c r="J131" i="5"/>
  <c r="H130" i="5"/>
  <c r="I130" i="5"/>
  <c r="J13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14" i="5"/>
  <c r="C14" i="5"/>
  <c r="D14" i="5"/>
  <c r="E14" i="5"/>
  <c r="F14" i="5"/>
  <c r="G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J197" i="5" l="1"/>
  <c r="J27" i="6" l="1"/>
  <c r="G199" i="5" s="1"/>
  <c r="J37" i="6"/>
  <c r="J12" i="8" l="1"/>
  <c r="G15" i="5" s="1"/>
  <c r="I199" i="5"/>
  <c r="J199" i="5"/>
  <c r="H199" i="5"/>
  <c r="J40" i="6" l="1"/>
  <c r="J39" i="6"/>
  <c r="G258" i="5" s="1"/>
  <c r="J35" i="6"/>
  <c r="G231" i="5"/>
  <c r="J26" i="6"/>
  <c r="G198" i="5" s="1"/>
  <c r="G87" i="5"/>
  <c r="G88" i="5"/>
  <c r="G85" i="5"/>
  <c r="J15" i="6"/>
  <c r="J14" i="6"/>
  <c r="G83" i="5" s="1"/>
  <c r="H79" i="25"/>
  <c r="M24" i="6"/>
  <c r="J45" i="6"/>
  <c r="J43" i="6"/>
  <c r="J33" i="6"/>
  <c r="M26" i="6" l="1"/>
  <c r="M39" i="6"/>
  <c r="M33" i="6"/>
  <c r="G233" i="5"/>
  <c r="J85" i="5"/>
  <c r="H231" i="5"/>
  <c r="J231" i="5"/>
  <c r="I231" i="5"/>
  <c r="J88" i="5"/>
  <c r="M35" i="6"/>
  <c r="G235" i="5"/>
  <c r="M21" i="6"/>
  <c r="G157" i="5"/>
  <c r="M43" i="6"/>
  <c r="G293" i="5"/>
  <c r="J83" i="5"/>
  <c r="J87" i="5"/>
  <c r="J258" i="5"/>
  <c r="M45" i="6"/>
  <c r="G295" i="5"/>
  <c r="M15" i="6"/>
  <c r="G84" i="5"/>
  <c r="I198" i="5"/>
  <c r="H198" i="5"/>
  <c r="J198" i="5"/>
  <c r="M12" i="8"/>
  <c r="M11" i="8"/>
  <c r="H80" i="25"/>
  <c r="H15" i="25"/>
  <c r="J157" i="5" l="1"/>
  <c r="M14" i="8"/>
  <c r="G17" i="5"/>
  <c r="J84" i="5"/>
  <c r="J233" i="5"/>
  <c r="H233" i="5"/>
  <c r="I233" i="5"/>
  <c r="H295" i="5"/>
  <c r="J295" i="5"/>
  <c r="I295" i="5"/>
  <c r="J293" i="5"/>
  <c r="H293" i="5"/>
  <c r="I293" i="5"/>
  <c r="I235" i="5"/>
  <c r="J235" i="5"/>
  <c r="H235" i="5"/>
  <c r="B80" i="5" l="1"/>
  <c r="C80" i="5"/>
  <c r="D80" i="5"/>
  <c r="E80" i="5"/>
  <c r="F80" i="5"/>
  <c r="G7" i="5"/>
  <c r="E125" i="1"/>
  <c r="E122" i="1"/>
  <c r="E121" i="1"/>
  <c r="E120" i="1"/>
  <c r="E119" i="1"/>
  <c r="E68" i="1"/>
  <c r="E53" i="1"/>
  <c r="H45" i="1"/>
  <c r="M45" i="1" s="1"/>
  <c r="H37" i="1"/>
  <c r="M37" i="1" s="1"/>
  <c r="E34" i="1"/>
  <c r="E33" i="1"/>
  <c r="E32" i="1"/>
  <c r="E31" i="1"/>
  <c r="E30" i="1"/>
  <c r="E29" i="1"/>
  <c r="E28" i="1"/>
  <c r="E27" i="1"/>
  <c r="E26" i="1"/>
  <c r="L29" i="1" l="1"/>
  <c r="F29" i="1"/>
  <c r="K29" i="1"/>
  <c r="L33" i="1"/>
  <c r="F33" i="1"/>
  <c r="K33" i="1"/>
  <c r="H53" i="1"/>
  <c r="F53" i="1"/>
  <c r="L53" i="1"/>
  <c r="K53" i="1"/>
  <c r="H121" i="1"/>
  <c r="L121" i="1"/>
  <c r="K121" i="1"/>
  <c r="F121" i="1"/>
  <c r="K26" i="1"/>
  <c r="L26" i="1"/>
  <c r="F26" i="1"/>
  <c r="K30" i="1"/>
  <c r="L30" i="1"/>
  <c r="F30" i="1"/>
  <c r="K34" i="1"/>
  <c r="L34" i="1"/>
  <c r="F34" i="1"/>
  <c r="H68" i="1"/>
  <c r="K68" i="1"/>
  <c r="L68" i="1"/>
  <c r="F68" i="1"/>
  <c r="H122" i="1"/>
  <c r="L122" i="1"/>
  <c r="K122" i="1"/>
  <c r="F122" i="1"/>
  <c r="K27" i="1"/>
  <c r="F27" i="1"/>
  <c r="L27" i="1"/>
  <c r="L31" i="1"/>
  <c r="K31" i="1"/>
  <c r="F31" i="1"/>
  <c r="L119" i="1"/>
  <c r="F119" i="1"/>
  <c r="K119" i="1"/>
  <c r="L125" i="1"/>
  <c r="F125" i="1"/>
  <c r="F28" i="1"/>
  <c r="L28" i="1"/>
  <c r="K28" i="1"/>
  <c r="F32" i="1"/>
  <c r="L32" i="1"/>
  <c r="K32" i="1"/>
  <c r="H120" i="1"/>
  <c r="L120" i="1"/>
  <c r="K120" i="1"/>
  <c r="F120" i="1"/>
  <c r="H88" i="5"/>
  <c r="I87" i="5"/>
  <c r="I258" i="5"/>
  <c r="I85" i="5"/>
  <c r="I83" i="5"/>
  <c r="H87" i="5"/>
  <c r="H258" i="5"/>
  <c r="H85" i="5"/>
  <c r="I88" i="5"/>
  <c r="H83" i="5"/>
  <c r="H84" i="5"/>
  <c r="I157" i="5"/>
  <c r="I84" i="5"/>
  <c r="H157" i="5"/>
  <c r="O14" i="5"/>
  <c r="N14" i="5"/>
  <c r="M14" i="5"/>
  <c r="K128" i="1"/>
  <c r="M128" i="1" s="1"/>
  <c r="M120" i="1" l="1"/>
  <c r="M122" i="1"/>
  <c r="M53" i="1"/>
  <c r="M121" i="1"/>
  <c r="M68" i="1"/>
  <c r="N128" i="1"/>
  <c r="G51" i="22" l="1"/>
  <c r="H26" i="22"/>
  <c r="H25" i="22"/>
  <c r="H24" i="22"/>
  <c r="H23" i="22"/>
  <c r="H22" i="22"/>
  <c r="I23" i="22" l="1"/>
  <c r="I24" i="22"/>
  <c r="I25" i="22"/>
  <c r="H27" i="22"/>
  <c r="I27" i="22" s="1"/>
  <c r="I26" i="22"/>
  <c r="E69" i="1"/>
  <c r="J12" i="6" l="1"/>
  <c r="G81" i="5" s="1"/>
  <c r="H81" i="5" l="1"/>
  <c r="I81" i="5"/>
  <c r="J81" i="5"/>
  <c r="M12" i="6"/>
  <c r="G16" i="5"/>
  <c r="G103" i="22"/>
  <c r="G19" i="22"/>
  <c r="M16" i="8" l="1"/>
  <c r="G105" i="22"/>
  <c r="M18" i="6"/>
  <c r="M22" i="6"/>
  <c r="M23" i="6"/>
  <c r="M40" i="6"/>
  <c r="M17" i="8"/>
  <c r="M18" i="8"/>
  <c r="M19" i="8"/>
  <c r="M20" i="8"/>
  <c r="M21" i="8"/>
  <c r="J22" i="5" l="1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70" i="5"/>
  <c r="J71" i="5"/>
  <c r="J72" i="5"/>
  <c r="J78" i="5"/>
  <c r="J101" i="5"/>
  <c r="J102" i="5"/>
  <c r="J103" i="5"/>
  <c r="J114" i="5"/>
  <c r="J116" i="5"/>
  <c r="J117" i="5"/>
  <c r="J118" i="5"/>
  <c r="J119" i="5"/>
  <c r="J129" i="5"/>
  <c r="J132" i="5"/>
  <c r="J133" i="5"/>
  <c r="J189" i="5"/>
  <c r="L130" i="5"/>
  <c r="H55" i="6"/>
  <c r="N130" i="5" l="1"/>
  <c r="M130" i="5"/>
  <c r="O130" i="5"/>
  <c r="N191" i="5" l="1"/>
  <c r="L191" i="5"/>
  <c r="M36" i="6"/>
  <c r="M191" i="5" l="1"/>
  <c r="O191" i="5"/>
  <c r="J95" i="5"/>
  <c r="J96" i="5"/>
  <c r="J97" i="5"/>
  <c r="J98" i="5"/>
  <c r="I339" i="5"/>
  <c r="L290" i="5"/>
  <c r="M290" i="5"/>
  <c r="N290" i="5"/>
  <c r="O290" i="5"/>
  <c r="J290" i="5"/>
  <c r="H268" i="5"/>
  <c r="I268" i="5"/>
  <c r="I267" i="5"/>
  <c r="H267" i="5"/>
  <c r="H251" i="5"/>
  <c r="I251" i="5"/>
  <c r="H252" i="5"/>
  <c r="I252" i="5"/>
  <c r="H253" i="5"/>
  <c r="I253" i="5"/>
  <c r="H254" i="5"/>
  <c r="I254" i="5"/>
  <c r="H255" i="5"/>
  <c r="I255" i="5"/>
  <c r="I250" i="5"/>
  <c r="H250" i="5"/>
  <c r="N192" i="5"/>
  <c r="L192" i="5"/>
  <c r="H204" i="5"/>
  <c r="I204" i="5"/>
  <c r="H205" i="5"/>
  <c r="I205" i="5"/>
  <c r="H206" i="5"/>
  <c r="I206" i="5"/>
  <c r="H207" i="5"/>
  <c r="I207" i="5"/>
  <c r="O193" i="5"/>
  <c r="N193" i="5"/>
  <c r="M193" i="5"/>
  <c r="L193" i="5"/>
  <c r="O189" i="5"/>
  <c r="N189" i="5"/>
  <c r="M189" i="5"/>
  <c r="L189" i="5"/>
  <c r="H168" i="5"/>
  <c r="I168" i="5" s="1"/>
  <c r="H156" i="5"/>
  <c r="I156" i="5" s="1"/>
  <c r="H158" i="5"/>
  <c r="I158" i="5" s="1"/>
  <c r="O143" i="5"/>
  <c r="N143" i="5"/>
  <c r="M143" i="5"/>
  <c r="L143" i="5"/>
  <c r="J143" i="5"/>
  <c r="H116" i="5"/>
  <c r="I116" i="5"/>
  <c r="H117" i="5"/>
  <c r="I117" i="5"/>
  <c r="H118" i="5"/>
  <c r="I118" i="5"/>
  <c r="H119" i="5"/>
  <c r="I119" i="5"/>
  <c r="O114" i="5"/>
  <c r="N114" i="5"/>
  <c r="M114" i="5"/>
  <c r="L114" i="5"/>
  <c r="H101" i="5"/>
  <c r="I101" i="5"/>
  <c r="H102" i="5"/>
  <c r="I102" i="5"/>
  <c r="H103" i="5"/>
  <c r="I103" i="5"/>
  <c r="I70" i="5"/>
  <c r="I71" i="5"/>
  <c r="I72" i="5"/>
  <c r="H70" i="5"/>
  <c r="H71" i="5"/>
  <c r="H72" i="5"/>
  <c r="L78" i="5"/>
  <c r="M78" i="5"/>
  <c r="N78" i="5"/>
  <c r="O78" i="5"/>
  <c r="M38" i="6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M16" i="6" l="1"/>
  <c r="M192" i="5"/>
  <c r="O192" i="5"/>
  <c r="L235" i="5" l="1"/>
  <c r="N235" i="5"/>
  <c r="F178" i="5"/>
  <c r="E178" i="5"/>
  <c r="D178" i="5"/>
  <c r="C178" i="5"/>
  <c r="B178" i="5"/>
  <c r="I179" i="5" l="1"/>
  <c r="H179" i="5"/>
  <c r="H96" i="5"/>
  <c r="I96" i="5"/>
  <c r="H98" i="5"/>
  <c r="I98" i="5"/>
  <c r="M235" i="5"/>
  <c r="O235" i="5"/>
  <c r="J21" i="5"/>
  <c r="J19" i="5"/>
  <c r="J20" i="5"/>
  <c r="C13" i="5"/>
  <c r="D13" i="5"/>
  <c r="E13" i="5"/>
  <c r="F13" i="5"/>
  <c r="B13" i="5"/>
  <c r="H21" i="5" l="1"/>
  <c r="I21" i="5"/>
  <c r="I20" i="5"/>
  <c r="H20" i="5"/>
  <c r="I19" i="5"/>
  <c r="H19" i="5"/>
  <c r="G178" i="5"/>
  <c r="H178" i="5" l="1"/>
  <c r="H181" i="5" s="1"/>
  <c r="I178" i="5"/>
  <c r="I181" i="5" s="1"/>
  <c r="H97" i="5"/>
  <c r="I97" i="5"/>
  <c r="H95" i="5"/>
  <c r="I95" i="5"/>
  <c r="M11" i="6" l="1"/>
  <c r="G80" i="5"/>
  <c r="G265" i="5"/>
  <c r="F304" i="5"/>
  <c r="E304" i="5"/>
  <c r="D304" i="5"/>
  <c r="C304" i="5"/>
  <c r="B304" i="5"/>
  <c r="F291" i="5"/>
  <c r="E291" i="5"/>
  <c r="D291" i="5"/>
  <c r="C291" i="5"/>
  <c r="B291" i="5"/>
  <c r="F272" i="5"/>
  <c r="E272" i="5"/>
  <c r="D272" i="5"/>
  <c r="C272" i="5"/>
  <c r="B272" i="5"/>
  <c r="J211" i="5"/>
  <c r="O271" i="5"/>
  <c r="N271" i="5"/>
  <c r="M271" i="5"/>
  <c r="L271" i="5"/>
  <c r="O269" i="5"/>
  <c r="N269" i="5"/>
  <c r="M269" i="5"/>
  <c r="L269" i="5"/>
  <c r="O268" i="5"/>
  <c r="N268" i="5"/>
  <c r="M268" i="5"/>
  <c r="L268" i="5"/>
  <c r="J268" i="5"/>
  <c r="O267" i="5"/>
  <c r="N267" i="5"/>
  <c r="M267" i="5"/>
  <c r="L267" i="5"/>
  <c r="J267" i="5"/>
  <c r="B245" i="5"/>
  <c r="C245" i="5"/>
  <c r="D245" i="5"/>
  <c r="E245" i="5"/>
  <c r="F245" i="5"/>
  <c r="G245" i="5"/>
  <c r="F244" i="5"/>
  <c r="E244" i="5"/>
  <c r="D244" i="5"/>
  <c r="C244" i="5"/>
  <c r="B244" i="5"/>
  <c r="F239" i="5"/>
  <c r="E239" i="5"/>
  <c r="L239" i="5" s="1"/>
  <c r="D239" i="5"/>
  <c r="C239" i="5"/>
  <c r="B239" i="5"/>
  <c r="B229" i="5"/>
  <c r="C229" i="5"/>
  <c r="D229" i="5"/>
  <c r="E229" i="5"/>
  <c r="F229" i="5"/>
  <c r="J80" i="5" l="1"/>
  <c r="H80" i="5"/>
  <c r="I80" i="5"/>
  <c r="H245" i="5"/>
  <c r="I245" i="5"/>
  <c r="G216" i="5"/>
  <c r="G270" i="5"/>
  <c r="J270" i="5" s="1"/>
  <c r="J269" i="5" s="1"/>
  <c r="O210" i="5"/>
  <c r="N210" i="5"/>
  <c r="M210" i="5"/>
  <c r="L210" i="5"/>
  <c r="O215" i="5"/>
  <c r="N215" i="5"/>
  <c r="M215" i="5"/>
  <c r="L215" i="5"/>
  <c r="O214" i="5"/>
  <c r="N214" i="5"/>
  <c r="M214" i="5"/>
  <c r="L214" i="5"/>
  <c r="J214" i="5"/>
  <c r="O213" i="5"/>
  <c r="N213" i="5"/>
  <c r="M213" i="5"/>
  <c r="L213" i="5"/>
  <c r="J213" i="5"/>
  <c r="O212" i="5"/>
  <c r="N212" i="5"/>
  <c r="M212" i="5"/>
  <c r="L212" i="5"/>
  <c r="J212" i="5"/>
  <c r="O211" i="5"/>
  <c r="N211" i="5"/>
  <c r="M211" i="5"/>
  <c r="L211" i="5"/>
  <c r="F196" i="5"/>
  <c r="E196" i="5"/>
  <c r="D196" i="5"/>
  <c r="C196" i="5"/>
  <c r="B196" i="5"/>
  <c r="F190" i="5"/>
  <c r="E190" i="5"/>
  <c r="D190" i="5"/>
  <c r="C190" i="5"/>
  <c r="B190" i="5"/>
  <c r="F115" i="5"/>
  <c r="E115" i="5"/>
  <c r="D115" i="5"/>
  <c r="C115" i="5"/>
  <c r="B115" i="5"/>
  <c r="J49" i="6"/>
  <c r="M49" i="6" s="1"/>
  <c r="J42" i="6"/>
  <c r="J44" i="6"/>
  <c r="J46" i="6"/>
  <c r="J47" i="6"/>
  <c r="J48" i="6"/>
  <c r="J32" i="6"/>
  <c r="M31" i="6"/>
  <c r="J30" i="6"/>
  <c r="J29" i="6"/>
  <c r="M29" i="6" s="1"/>
  <c r="J28" i="6"/>
  <c r="J20" i="6"/>
  <c r="M20" i="6" s="1"/>
  <c r="M19" i="6"/>
  <c r="G86" i="5"/>
  <c r="J13" i="6"/>
  <c r="G82" i="5" s="1"/>
  <c r="G239" i="5"/>
  <c r="M50" i="6"/>
  <c r="M51" i="6"/>
  <c r="M52" i="6"/>
  <c r="J17" i="5"/>
  <c r="J16" i="5"/>
  <c r="G18" i="5"/>
  <c r="J18" i="5" s="1"/>
  <c r="M13" i="8"/>
  <c r="H28" i="8"/>
  <c r="J82" i="5" l="1"/>
  <c r="H82" i="5"/>
  <c r="I82" i="5"/>
  <c r="M28" i="6"/>
  <c r="G200" i="5"/>
  <c r="M32" i="6"/>
  <c r="G232" i="5"/>
  <c r="M46" i="6"/>
  <c r="G296" i="5"/>
  <c r="M30" i="6"/>
  <c r="G230" i="5"/>
  <c r="M48" i="6"/>
  <c r="G298" i="5"/>
  <c r="M42" i="6"/>
  <c r="G292" i="5"/>
  <c r="M47" i="6"/>
  <c r="G297" i="5"/>
  <c r="H86" i="5"/>
  <c r="I86" i="5"/>
  <c r="J86" i="5"/>
  <c r="M34" i="6"/>
  <c r="G234" i="5"/>
  <c r="M44" i="6"/>
  <c r="G294" i="5"/>
  <c r="M13" i="6"/>
  <c r="M14" i="6"/>
  <c r="M15" i="8"/>
  <c r="M17" i="6"/>
  <c r="J271" i="5"/>
  <c r="J14" i="5"/>
  <c r="J15" i="5"/>
  <c r="J100" i="5"/>
  <c r="G304" i="5"/>
  <c r="I304" i="5" s="1"/>
  <c r="J99" i="5"/>
  <c r="G115" i="5"/>
  <c r="J115" i="5" s="1"/>
  <c r="G196" i="5"/>
  <c r="I196" i="5" s="1"/>
  <c r="H239" i="5"/>
  <c r="I239" i="5"/>
  <c r="H16" i="5"/>
  <c r="I16" i="5"/>
  <c r="H18" i="5"/>
  <c r="I18" i="5"/>
  <c r="I17" i="5"/>
  <c r="H17" i="5"/>
  <c r="G229" i="5"/>
  <c r="G272" i="5"/>
  <c r="G190" i="5"/>
  <c r="J190" i="5" s="1"/>
  <c r="J297" i="5" l="1"/>
  <c r="H297" i="5"/>
  <c r="I297" i="5"/>
  <c r="H298" i="5"/>
  <c r="I298" i="5"/>
  <c r="J298" i="5"/>
  <c r="H296" i="5"/>
  <c r="I296" i="5"/>
  <c r="J296" i="5"/>
  <c r="H200" i="5"/>
  <c r="I200" i="5"/>
  <c r="J200" i="5"/>
  <c r="H294" i="5"/>
  <c r="J294" i="5"/>
  <c r="I294" i="5"/>
  <c r="I292" i="5"/>
  <c r="J292" i="5"/>
  <c r="H292" i="5"/>
  <c r="J230" i="5"/>
  <c r="I230" i="5"/>
  <c r="H230" i="5"/>
  <c r="I232" i="5"/>
  <c r="J232" i="5"/>
  <c r="H232" i="5"/>
  <c r="J234" i="5"/>
  <c r="I234" i="5"/>
  <c r="H234" i="5"/>
  <c r="H15" i="5"/>
  <c r="I14" i="5"/>
  <c r="H100" i="5"/>
  <c r="H304" i="5"/>
  <c r="H99" i="5"/>
  <c r="I15" i="5"/>
  <c r="H14" i="5"/>
  <c r="G307" i="5"/>
  <c r="H115" i="5"/>
  <c r="H196" i="5"/>
  <c r="I99" i="5"/>
  <c r="I100" i="5"/>
  <c r="I115" i="5"/>
  <c r="I272" i="5"/>
  <c r="H272" i="5"/>
  <c r="G281" i="5"/>
  <c r="G242" i="5"/>
  <c r="I229" i="5"/>
  <c r="H229" i="5"/>
  <c r="I190" i="5"/>
  <c r="H190" i="5"/>
  <c r="H99" i="1"/>
  <c r="M99" i="1" s="1"/>
  <c r="N100" i="1" l="1"/>
  <c r="N99" i="1"/>
  <c r="D24" i="1" l="1"/>
  <c r="N16" i="1" l="1"/>
  <c r="B1" i="1"/>
  <c r="N15" i="1" l="1"/>
  <c r="H339" i="5"/>
  <c r="I246" i="5"/>
  <c r="H246" i="5"/>
  <c r="I146" i="5"/>
  <c r="H146" i="5"/>
  <c r="I145" i="5"/>
  <c r="H145" i="5"/>
  <c r="I133" i="5"/>
  <c r="H133" i="5"/>
  <c r="I132" i="5"/>
  <c r="H132" i="5"/>
  <c r="I129" i="5"/>
  <c r="H129" i="5"/>
  <c r="M334" i="5" l="1"/>
  <c r="M333" i="5"/>
  <c r="M332" i="5"/>
  <c r="M331" i="5"/>
  <c r="M330" i="5"/>
  <c r="M328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6" i="5"/>
  <c r="M303" i="5"/>
  <c r="M301" i="5"/>
  <c r="M300" i="5"/>
  <c r="M299" i="5"/>
  <c r="M298" i="5"/>
  <c r="M289" i="5"/>
  <c r="M288" i="5"/>
  <c r="M287" i="5"/>
  <c r="M286" i="5"/>
  <c r="M285" i="5"/>
  <c r="M284" i="5"/>
  <c r="M283" i="5"/>
  <c r="M282" i="5"/>
  <c r="M280" i="5"/>
  <c r="M279" i="5"/>
  <c r="M278" i="5"/>
  <c r="M277" i="5"/>
  <c r="M276" i="5"/>
  <c r="M275" i="5"/>
  <c r="M274" i="5"/>
  <c r="M273" i="5"/>
  <c r="M266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7" i="5"/>
  <c r="M246" i="5"/>
  <c r="M243" i="5"/>
  <c r="M241" i="5"/>
  <c r="M238" i="5"/>
  <c r="M236" i="5"/>
  <c r="M226" i="5"/>
  <c r="M225" i="5"/>
  <c r="M224" i="5"/>
  <c r="M223" i="5"/>
  <c r="M222" i="5"/>
  <c r="M221" i="5"/>
  <c r="M220" i="5"/>
  <c r="M219" i="5"/>
  <c r="M218" i="5"/>
  <c r="M217" i="5"/>
  <c r="M208" i="5"/>
  <c r="M207" i="5"/>
  <c r="M206" i="5"/>
  <c r="M205" i="5"/>
  <c r="M204" i="5"/>
  <c r="M203" i="5"/>
  <c r="M195" i="5"/>
  <c r="M188" i="5"/>
  <c r="M187" i="5"/>
  <c r="M186" i="5"/>
  <c r="M185" i="5"/>
  <c r="M184" i="5"/>
  <c r="M183" i="5"/>
  <c r="M182" i="5"/>
  <c r="M180" i="5"/>
  <c r="M171" i="5"/>
  <c r="M169" i="5"/>
  <c r="M168" i="5"/>
  <c r="M167" i="5"/>
  <c r="M166" i="5"/>
  <c r="M165" i="5"/>
  <c r="M164" i="5"/>
  <c r="M163" i="5"/>
  <c r="M162" i="5"/>
  <c r="M161" i="5"/>
  <c r="M159" i="5"/>
  <c r="M158" i="5"/>
  <c r="M157" i="5"/>
  <c r="M156" i="5"/>
  <c r="M155" i="5"/>
  <c r="M154" i="5"/>
  <c r="M153" i="5"/>
  <c r="M152" i="5"/>
  <c r="M151" i="5"/>
  <c r="M150" i="5"/>
  <c r="M149" i="5"/>
  <c r="M147" i="5"/>
  <c r="M146" i="5"/>
  <c r="M145" i="5"/>
  <c r="M144" i="5"/>
  <c r="M142" i="5"/>
  <c r="M141" i="5"/>
  <c r="M140" i="5"/>
  <c r="M139" i="5"/>
  <c r="M138" i="5"/>
  <c r="M137" i="5"/>
  <c r="M136" i="5"/>
  <c r="M134" i="5"/>
  <c r="M133" i="5"/>
  <c r="M132" i="5"/>
  <c r="M131" i="5"/>
  <c r="M129" i="5"/>
  <c r="M128" i="5"/>
  <c r="M127" i="5"/>
  <c r="M126" i="5"/>
  <c r="M125" i="5"/>
  <c r="M124" i="5"/>
  <c r="M123" i="5"/>
  <c r="M122" i="5"/>
  <c r="M120" i="5"/>
  <c r="M119" i="5"/>
  <c r="M118" i="5"/>
  <c r="M117" i="5"/>
  <c r="M116" i="5"/>
  <c r="M115" i="5"/>
  <c r="M113" i="5"/>
  <c r="M112" i="5"/>
  <c r="M111" i="5"/>
  <c r="M110" i="5"/>
  <c r="M109" i="5"/>
  <c r="M108" i="5"/>
  <c r="M107" i="5"/>
  <c r="M106" i="5"/>
  <c r="M104" i="5"/>
  <c r="M103" i="5"/>
  <c r="M102" i="5"/>
  <c r="M101" i="5"/>
  <c r="M100" i="5"/>
  <c r="M99" i="5"/>
  <c r="M98" i="5"/>
  <c r="M97" i="5"/>
  <c r="M96" i="5"/>
  <c r="M95" i="5"/>
  <c r="M77" i="5"/>
  <c r="M76" i="5"/>
  <c r="M75" i="5"/>
  <c r="M74" i="5"/>
  <c r="M73" i="5"/>
  <c r="M72" i="5"/>
  <c r="M71" i="5"/>
  <c r="M70" i="5"/>
  <c r="M6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121" i="5" l="1"/>
  <c r="M135" i="5"/>
  <c r="M170" i="5"/>
  <c r="M148" i="5"/>
  <c r="M327" i="5"/>
  <c r="M265" i="5"/>
  <c r="M270" i="5" s="1"/>
  <c r="M160" i="5"/>
  <c r="A92" i="1"/>
  <c r="D92" i="1"/>
  <c r="A49" i="1"/>
  <c r="A50" i="1" s="1"/>
  <c r="A51" i="1"/>
  <c r="D51" i="1"/>
  <c r="G108" i="5"/>
  <c r="J108" i="5" l="1"/>
  <c r="H108" i="5"/>
  <c r="I108" i="5" s="1"/>
  <c r="N48" i="1"/>
  <c r="N50" i="1"/>
  <c r="F51" i="1"/>
  <c r="L51" i="1"/>
  <c r="N49" i="1"/>
  <c r="H51" i="1"/>
  <c r="N46" i="1"/>
  <c r="K51" i="1"/>
  <c r="N45" i="1"/>
  <c r="N47" i="1"/>
  <c r="I51" i="1"/>
  <c r="M51" i="1" l="1"/>
  <c r="N51" i="1" s="1"/>
  <c r="N52" i="1" s="1"/>
  <c r="M41" i="6"/>
  <c r="G291" i="5" l="1"/>
  <c r="I291" i="5" l="1"/>
  <c r="H291" i="5"/>
  <c r="L329" i="5"/>
  <c r="L304" i="5"/>
  <c r="L196" i="5"/>
  <c r="M178" i="5" l="1"/>
  <c r="M233" i="5"/>
  <c r="M240" i="5"/>
  <c r="M94" i="5"/>
  <c r="M190" i="5"/>
  <c r="N329" i="5"/>
  <c r="M329" i="5"/>
  <c r="M230" i="5"/>
  <c r="M304" i="5"/>
  <c r="M231" i="5"/>
  <c r="M179" i="5"/>
  <c r="N304" i="5"/>
  <c r="N196" i="5"/>
  <c r="O329" i="5"/>
  <c r="O304" i="5"/>
  <c r="O196" i="5"/>
  <c r="J196" i="5"/>
  <c r="M181" i="5" l="1"/>
  <c r="M194" i="5"/>
  <c r="M239" i="5"/>
  <c r="M242" i="5" s="1"/>
  <c r="M234" i="5"/>
  <c r="M196" i="5"/>
  <c r="J304" i="5"/>
  <c r="O188" i="5"/>
  <c r="N188" i="5"/>
  <c r="O187" i="5"/>
  <c r="N187" i="5"/>
  <c r="O186" i="5"/>
  <c r="N186" i="5"/>
  <c r="O185" i="5"/>
  <c r="N185" i="5"/>
  <c r="O184" i="5"/>
  <c r="N184" i="5"/>
  <c r="O183" i="5"/>
  <c r="O134" i="5"/>
  <c r="N134" i="5"/>
  <c r="L134" i="5"/>
  <c r="O133" i="5"/>
  <c r="N133" i="5"/>
  <c r="L133" i="5"/>
  <c r="O132" i="5"/>
  <c r="N132" i="5"/>
  <c r="L132" i="5"/>
  <c r="L131" i="5"/>
  <c r="O129" i="5"/>
  <c r="N129" i="5"/>
  <c r="L129" i="5"/>
  <c r="O128" i="5"/>
  <c r="N128" i="5"/>
  <c r="O127" i="5"/>
  <c r="N127" i="5"/>
  <c r="O126" i="5"/>
  <c r="N126" i="5"/>
  <c r="O125" i="5"/>
  <c r="N125" i="5"/>
  <c r="O124" i="5"/>
  <c r="N124" i="5"/>
  <c r="O123" i="5"/>
  <c r="N123" i="5"/>
  <c r="O122" i="5"/>
  <c r="N122" i="5"/>
  <c r="L122" i="5"/>
  <c r="H83" i="1"/>
  <c r="M83" i="1" s="1"/>
  <c r="H82" i="1"/>
  <c r="M82" i="1" s="1"/>
  <c r="M10" i="8" l="1"/>
  <c r="H13" i="5"/>
  <c r="M27" i="6"/>
  <c r="I13" i="5"/>
  <c r="M232" i="5"/>
  <c r="N82" i="1"/>
  <c r="N131" i="5"/>
  <c r="N135" i="5" s="1"/>
  <c r="O131" i="5"/>
  <c r="O135" i="5" s="1"/>
  <c r="L94" i="5"/>
  <c r="L95" i="5"/>
  <c r="L96" i="5"/>
  <c r="L97" i="5"/>
  <c r="L98" i="5"/>
  <c r="L99" i="5"/>
  <c r="L100" i="5"/>
  <c r="L101" i="5"/>
  <c r="L102" i="5"/>
  <c r="L103" i="5"/>
  <c r="L104" i="5"/>
  <c r="L106" i="5"/>
  <c r="L115" i="5"/>
  <c r="L116" i="5"/>
  <c r="L118" i="5"/>
  <c r="L119" i="5"/>
  <c r="L120" i="5"/>
  <c r="L136" i="5"/>
  <c r="L144" i="5"/>
  <c r="L146" i="5"/>
  <c r="L147" i="5"/>
  <c r="L149" i="5"/>
  <c r="L156" i="5"/>
  <c r="L157" i="5"/>
  <c r="L158" i="5"/>
  <c r="L159" i="5"/>
  <c r="L161" i="5"/>
  <c r="L169" i="5"/>
  <c r="L171" i="5"/>
  <c r="L180" i="5"/>
  <c r="L182" i="5"/>
  <c r="L195" i="5"/>
  <c r="L202" i="5"/>
  <c r="L203" i="5"/>
  <c r="L204" i="5"/>
  <c r="L205" i="5"/>
  <c r="L206" i="5"/>
  <c r="L207" i="5"/>
  <c r="L208" i="5"/>
  <c r="L217" i="5"/>
  <c r="L230" i="5"/>
  <c r="L231" i="5"/>
  <c r="L232" i="5"/>
  <c r="L233" i="5"/>
  <c r="L234" i="5"/>
  <c r="L236" i="5"/>
  <c r="L238" i="5"/>
  <c r="L241" i="5"/>
  <c r="L243" i="5"/>
  <c r="L246" i="5"/>
  <c r="L247" i="5"/>
  <c r="L249" i="5"/>
  <c r="L263" i="5"/>
  <c r="L264" i="5"/>
  <c r="L266" i="5"/>
  <c r="L273" i="5"/>
  <c r="L274" i="5"/>
  <c r="L275" i="5"/>
  <c r="L276" i="5"/>
  <c r="L277" i="5"/>
  <c r="L278" i="5"/>
  <c r="L279" i="5"/>
  <c r="L280" i="5"/>
  <c r="L282" i="5"/>
  <c r="L299" i="5"/>
  <c r="L300" i="5"/>
  <c r="L301" i="5"/>
  <c r="L303" i="5"/>
  <c r="L306" i="5"/>
  <c r="L308" i="5"/>
  <c r="L318" i="5"/>
  <c r="L319" i="5"/>
  <c r="L320" i="5"/>
  <c r="L321" i="5"/>
  <c r="L322" i="5"/>
  <c r="L323" i="5"/>
  <c r="L324" i="5"/>
  <c r="L325" i="5"/>
  <c r="L326" i="5"/>
  <c r="L328" i="5"/>
  <c r="L330" i="5"/>
  <c r="L331" i="5"/>
  <c r="L332" i="5" l="1"/>
  <c r="M37" i="6"/>
  <c r="M25" i="6"/>
  <c r="G13" i="5"/>
  <c r="G65" i="5" s="1"/>
  <c r="J28" i="8"/>
  <c r="I244" i="5"/>
  <c r="N117" i="5"/>
  <c r="O117" i="5"/>
  <c r="H244" i="5" l="1"/>
  <c r="G244" i="5"/>
  <c r="G248" i="5" s="1"/>
  <c r="J13" i="5"/>
  <c r="G209" i="5"/>
  <c r="I92" i="1"/>
  <c r="L70" i="5"/>
  <c r="L72" i="5"/>
  <c r="O72" i="5"/>
  <c r="N73" i="5"/>
  <c r="O73" i="5"/>
  <c r="O70" i="5"/>
  <c r="N72" i="5" l="1"/>
  <c r="N70" i="5"/>
  <c r="O330" i="5" l="1"/>
  <c r="N330" i="5"/>
  <c r="O325" i="5"/>
  <c r="N325" i="5"/>
  <c r="O324" i="5"/>
  <c r="N324" i="5"/>
  <c r="O323" i="5"/>
  <c r="N323" i="5"/>
  <c r="O322" i="5"/>
  <c r="N322" i="5"/>
  <c r="O321" i="5"/>
  <c r="N321" i="5"/>
  <c r="O320" i="5"/>
  <c r="N320" i="5"/>
  <c r="O319" i="5"/>
  <c r="N319" i="5"/>
  <c r="O318" i="5"/>
  <c r="N318" i="5"/>
  <c r="O314" i="5"/>
  <c r="N314" i="5"/>
  <c r="O313" i="5"/>
  <c r="N313" i="5"/>
  <c r="O312" i="5"/>
  <c r="N312" i="5"/>
  <c r="O311" i="5"/>
  <c r="N311" i="5"/>
  <c r="O310" i="5"/>
  <c r="N310" i="5"/>
  <c r="O309" i="5"/>
  <c r="N309" i="5"/>
  <c r="O300" i="5"/>
  <c r="N300" i="5"/>
  <c r="O299" i="5"/>
  <c r="N299" i="5"/>
  <c r="O289" i="5"/>
  <c r="N289" i="5"/>
  <c r="O288" i="5"/>
  <c r="N288" i="5"/>
  <c r="O287" i="5"/>
  <c r="N287" i="5"/>
  <c r="O286" i="5"/>
  <c r="N286" i="5"/>
  <c r="O285" i="5"/>
  <c r="N285" i="5"/>
  <c r="O284" i="5"/>
  <c r="N284" i="5"/>
  <c r="O283" i="5"/>
  <c r="N283" i="5"/>
  <c r="O279" i="5"/>
  <c r="N279" i="5"/>
  <c r="O278" i="5"/>
  <c r="N278" i="5"/>
  <c r="O277" i="5"/>
  <c r="N277" i="5"/>
  <c r="O276" i="5"/>
  <c r="N276" i="5"/>
  <c r="O275" i="5"/>
  <c r="N275" i="5"/>
  <c r="O274" i="5"/>
  <c r="N274" i="5"/>
  <c r="O273" i="5"/>
  <c r="N273" i="5"/>
  <c r="O263" i="5"/>
  <c r="N263" i="5"/>
  <c r="N255" i="5"/>
  <c r="N254" i="5"/>
  <c r="N253" i="5"/>
  <c r="N252" i="5"/>
  <c r="N251" i="5"/>
  <c r="N250" i="5"/>
  <c r="O246" i="5"/>
  <c r="N246" i="5"/>
  <c r="O234" i="5"/>
  <c r="N234" i="5"/>
  <c r="O233" i="5"/>
  <c r="N233" i="5"/>
  <c r="O232" i="5"/>
  <c r="N232" i="5"/>
  <c r="O231" i="5"/>
  <c r="N231" i="5"/>
  <c r="O230" i="5"/>
  <c r="N230" i="5"/>
  <c r="O224" i="5"/>
  <c r="N224" i="5"/>
  <c r="O223" i="5"/>
  <c r="N223" i="5"/>
  <c r="O222" i="5"/>
  <c r="N222" i="5"/>
  <c r="O221" i="5"/>
  <c r="N221" i="5"/>
  <c r="O220" i="5"/>
  <c r="N220" i="5"/>
  <c r="O219" i="5"/>
  <c r="N219" i="5"/>
  <c r="O218" i="5"/>
  <c r="N218" i="5"/>
  <c r="O207" i="5"/>
  <c r="N207" i="5"/>
  <c r="O206" i="5"/>
  <c r="N206" i="5"/>
  <c r="O205" i="5"/>
  <c r="N205" i="5"/>
  <c r="O204" i="5"/>
  <c r="N204" i="5"/>
  <c r="O203" i="5"/>
  <c r="N203" i="5"/>
  <c r="O202" i="5"/>
  <c r="N202" i="5"/>
  <c r="O167" i="5"/>
  <c r="N167" i="5"/>
  <c r="O166" i="5"/>
  <c r="N166" i="5"/>
  <c r="O165" i="5"/>
  <c r="N165" i="5"/>
  <c r="O164" i="5"/>
  <c r="N164" i="5"/>
  <c r="O163" i="5"/>
  <c r="N163" i="5"/>
  <c r="O162" i="5"/>
  <c r="O158" i="5"/>
  <c r="N158" i="5"/>
  <c r="O157" i="5"/>
  <c r="N157" i="5"/>
  <c r="O156" i="5"/>
  <c r="N156" i="5"/>
  <c r="O155" i="5"/>
  <c r="N155" i="5"/>
  <c r="O154" i="5"/>
  <c r="N154" i="5"/>
  <c r="O153" i="5"/>
  <c r="N153" i="5"/>
  <c r="O152" i="5"/>
  <c r="N152" i="5"/>
  <c r="O151" i="5"/>
  <c r="N151" i="5"/>
  <c r="O150" i="5"/>
  <c r="N150" i="5"/>
  <c r="O146" i="5"/>
  <c r="N146" i="5"/>
  <c r="O144" i="5"/>
  <c r="N144" i="5"/>
  <c r="O142" i="5"/>
  <c r="N142" i="5"/>
  <c r="O141" i="5"/>
  <c r="N141" i="5"/>
  <c r="O140" i="5"/>
  <c r="N140" i="5"/>
  <c r="O139" i="5"/>
  <c r="N139" i="5"/>
  <c r="O138" i="5"/>
  <c r="N138" i="5"/>
  <c r="O137" i="5"/>
  <c r="N137" i="5"/>
  <c r="O119" i="5"/>
  <c r="N119" i="5"/>
  <c r="O118" i="5"/>
  <c r="N118" i="5"/>
  <c r="O116" i="5"/>
  <c r="N116" i="5"/>
  <c r="O115" i="5"/>
  <c r="N115" i="5"/>
  <c r="O113" i="5"/>
  <c r="N113" i="5"/>
  <c r="O112" i="5"/>
  <c r="N112" i="5"/>
  <c r="O111" i="5"/>
  <c r="N111" i="5"/>
  <c r="O110" i="5"/>
  <c r="N110" i="5"/>
  <c r="O109" i="5"/>
  <c r="N109" i="5"/>
  <c r="O108" i="5"/>
  <c r="N108" i="5"/>
  <c r="O107" i="5"/>
  <c r="N107" i="5"/>
  <c r="O103" i="5"/>
  <c r="N103" i="5"/>
  <c r="O102" i="5"/>
  <c r="N102" i="5"/>
  <c r="O101" i="5"/>
  <c r="N101" i="5"/>
  <c r="O100" i="5"/>
  <c r="N100" i="5"/>
  <c r="O99" i="5"/>
  <c r="N99" i="5"/>
  <c r="O98" i="5"/>
  <c r="N98" i="5"/>
  <c r="O97" i="5"/>
  <c r="N97" i="5"/>
  <c r="O96" i="5"/>
  <c r="N96" i="5"/>
  <c r="O95" i="5"/>
  <c r="N95" i="5"/>
  <c r="O94" i="5"/>
  <c r="N94" i="5"/>
  <c r="O77" i="5"/>
  <c r="N77" i="5"/>
  <c r="O76" i="5"/>
  <c r="N76" i="5"/>
  <c r="O75" i="5"/>
  <c r="N75" i="5"/>
  <c r="O74" i="5"/>
  <c r="N74" i="5"/>
  <c r="O71" i="5"/>
  <c r="N71" i="5"/>
  <c r="O69" i="5"/>
  <c r="N69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334" i="5"/>
  <c r="N333" i="5"/>
  <c r="N332" i="5"/>
  <c r="N331" i="5"/>
  <c r="N328" i="5"/>
  <c r="N326" i="5"/>
  <c r="N308" i="5"/>
  <c r="N306" i="5"/>
  <c r="N303" i="5"/>
  <c r="N301" i="5"/>
  <c r="N282" i="5"/>
  <c r="N280" i="5"/>
  <c r="N266" i="5"/>
  <c r="N264" i="5"/>
  <c r="N249" i="5"/>
  <c r="N247" i="5"/>
  <c r="N243" i="5"/>
  <c r="N241" i="5"/>
  <c r="N238" i="5"/>
  <c r="N236" i="5"/>
  <c r="N217" i="5"/>
  <c r="N208" i="5"/>
  <c r="N195" i="5"/>
  <c r="N182" i="5"/>
  <c r="N180" i="5"/>
  <c r="N171" i="5"/>
  <c r="N169" i="5"/>
  <c r="N161" i="5"/>
  <c r="N159" i="5"/>
  <c r="N149" i="5"/>
  <c r="N147" i="5"/>
  <c r="N136" i="5"/>
  <c r="N120" i="5"/>
  <c r="N106" i="5"/>
  <c r="N104" i="5"/>
  <c r="N160" i="5" l="1"/>
  <c r="O104" i="5"/>
  <c r="O106" i="5"/>
  <c r="O120" i="5"/>
  <c r="O136" i="5"/>
  <c r="O147" i="5"/>
  <c r="O149" i="5"/>
  <c r="O159" i="5"/>
  <c r="O160" i="5" s="1"/>
  <c r="O161" i="5"/>
  <c r="O169" i="5"/>
  <c r="O171" i="5"/>
  <c r="O180" i="5"/>
  <c r="O182" i="5"/>
  <c r="O195" i="5"/>
  <c r="O208" i="5"/>
  <c r="O217" i="5"/>
  <c r="O236" i="5"/>
  <c r="O238" i="5"/>
  <c r="O241" i="5"/>
  <c r="O243" i="5"/>
  <c r="O247" i="5"/>
  <c r="O249" i="5"/>
  <c r="O264" i="5"/>
  <c r="O266" i="5"/>
  <c r="O280" i="5"/>
  <c r="O282" i="5"/>
  <c r="O301" i="5"/>
  <c r="O303" i="5"/>
  <c r="O306" i="5"/>
  <c r="O308" i="5"/>
  <c r="O326" i="5"/>
  <c r="O328" i="5"/>
  <c r="O331" i="5"/>
  <c r="O332" i="5"/>
  <c r="O333" i="5"/>
  <c r="O334" i="5"/>
  <c r="O181" i="5" l="1"/>
  <c r="M291" i="5"/>
  <c r="M294" i="5"/>
  <c r="M199" i="5"/>
  <c r="M228" i="5"/>
  <c r="M90" i="5"/>
  <c r="M272" i="5"/>
  <c r="M281" i="5" s="1"/>
  <c r="N93" i="5"/>
  <c r="O93" i="5"/>
  <c r="O92" i="5"/>
  <c r="N92" i="5"/>
  <c r="N91" i="5"/>
  <c r="O91" i="5"/>
  <c r="O90" i="5"/>
  <c r="N90" i="5"/>
  <c r="N89" i="5"/>
  <c r="O89" i="5"/>
  <c r="N121" i="5"/>
  <c r="O121" i="5"/>
  <c r="O179" i="5"/>
  <c r="O201" i="5"/>
  <c r="N201" i="5"/>
  <c r="O200" i="5"/>
  <c r="N200" i="5"/>
  <c r="N199" i="5"/>
  <c r="O199" i="5"/>
  <c r="O198" i="5"/>
  <c r="N198" i="5"/>
  <c r="O229" i="5"/>
  <c r="N229" i="5"/>
  <c r="O228" i="5"/>
  <c r="N228" i="5"/>
  <c r="O227" i="5"/>
  <c r="N227" i="5"/>
  <c r="O226" i="5"/>
  <c r="N226" i="5"/>
  <c r="O240" i="5"/>
  <c r="N240" i="5"/>
  <c r="O245" i="5"/>
  <c r="N245" i="5"/>
  <c r="N262" i="5"/>
  <c r="N261" i="5"/>
  <c r="N260" i="5"/>
  <c r="N259" i="5"/>
  <c r="N258" i="5"/>
  <c r="N257" i="5"/>
  <c r="O298" i="5"/>
  <c r="N298" i="5"/>
  <c r="O297" i="5"/>
  <c r="N297" i="5"/>
  <c r="O296" i="5"/>
  <c r="N296" i="5"/>
  <c r="O295" i="5"/>
  <c r="N295" i="5"/>
  <c r="O294" i="5"/>
  <c r="N294" i="5"/>
  <c r="O293" i="5"/>
  <c r="N293" i="5"/>
  <c r="O292" i="5"/>
  <c r="N292" i="5"/>
  <c r="O317" i="5"/>
  <c r="N317" i="5"/>
  <c r="O316" i="5"/>
  <c r="N316" i="5"/>
  <c r="O168" i="5"/>
  <c r="O170" i="5" s="1"/>
  <c r="N168" i="5"/>
  <c r="O178" i="5"/>
  <c r="N178" i="5"/>
  <c r="O190" i="5"/>
  <c r="O194" i="5" s="1"/>
  <c r="N190" i="5"/>
  <c r="O197" i="5"/>
  <c r="N197" i="5"/>
  <c r="N225" i="5"/>
  <c r="O225" i="5"/>
  <c r="O239" i="5"/>
  <c r="N239" i="5"/>
  <c r="O244" i="5"/>
  <c r="N244" i="5"/>
  <c r="N256" i="5"/>
  <c r="O272" i="5"/>
  <c r="O281" i="5" s="1"/>
  <c r="N272" i="5"/>
  <c r="N281" i="5" s="1"/>
  <c r="O291" i="5"/>
  <c r="N291" i="5"/>
  <c r="O305" i="5"/>
  <c r="O307" i="5" s="1"/>
  <c r="N305" i="5"/>
  <c r="N307" i="5" s="1"/>
  <c r="O315" i="5"/>
  <c r="N315" i="5"/>
  <c r="N145" i="5"/>
  <c r="N148" i="5" s="1"/>
  <c r="O145" i="5"/>
  <c r="O148" i="5" s="1"/>
  <c r="N242" i="5" l="1"/>
  <c r="O242" i="5"/>
  <c r="O302" i="5"/>
  <c r="O248" i="5"/>
  <c r="N327" i="5"/>
  <c r="N302" i="5"/>
  <c r="N265" i="5"/>
  <c r="N270" i="5" s="1"/>
  <c r="N237" i="5"/>
  <c r="O327" i="5"/>
  <c r="O237" i="5"/>
  <c r="N248" i="5"/>
  <c r="N209" i="5"/>
  <c r="N216" i="5" s="1"/>
  <c r="O209" i="5"/>
  <c r="O216" i="5" s="1"/>
  <c r="G69" i="5"/>
  <c r="J69" i="5" l="1"/>
  <c r="L69" i="5"/>
  <c r="I69" i="5"/>
  <c r="H69" i="5"/>
  <c r="M229" i="5" l="1"/>
  <c r="M202" i="5"/>
  <c r="M197" i="5"/>
  <c r="L199" i="5"/>
  <c r="L197" i="5"/>
  <c r="L229" i="5"/>
  <c r="L225" i="5"/>
  <c r="L226" i="5"/>
  <c r="N114" i="1"/>
  <c r="M227" i="5" l="1"/>
  <c r="M237" i="5" s="1"/>
  <c r="L227" i="5"/>
  <c r="L228" i="5"/>
  <c r="M200" i="5" l="1"/>
  <c r="L200" i="5"/>
  <c r="L244" i="5"/>
  <c r="B1" i="8" l="1"/>
  <c r="D35" i="1" l="1"/>
  <c r="D69" i="1"/>
  <c r="D43" i="1"/>
  <c r="D84" i="1"/>
  <c r="D80" i="1"/>
  <c r="D76" i="1"/>
  <c r="D97" i="1"/>
  <c r="D109" i="1"/>
  <c r="D123" i="1"/>
  <c r="D136" i="1"/>
  <c r="M87" i="5" l="1"/>
  <c r="N87" i="5"/>
  <c r="O87" i="5"/>
  <c r="O30" i="5"/>
  <c r="N29" i="5"/>
  <c r="O88" i="5"/>
  <c r="N88" i="5"/>
  <c r="D117" i="1"/>
  <c r="D137" i="1" s="1"/>
  <c r="J239" i="5" l="1"/>
  <c r="L245" i="5"/>
  <c r="L248" i="5" s="1"/>
  <c r="H94" i="1"/>
  <c r="M94" i="1" s="1"/>
  <c r="L178" i="5"/>
  <c r="L190" i="5"/>
  <c r="J55" i="6"/>
  <c r="L117" i="5"/>
  <c r="L240" i="5"/>
  <c r="N115" i="1"/>
  <c r="L181" i="5" l="1"/>
  <c r="M93" i="5"/>
  <c r="M89" i="5"/>
  <c r="M21" i="5"/>
  <c r="L272" i="5"/>
  <c r="M91" i="5"/>
  <c r="L242" i="5"/>
  <c r="O260" i="5"/>
  <c r="L260" i="5"/>
  <c r="L90" i="5"/>
  <c r="O259" i="5"/>
  <c r="L259" i="5"/>
  <c r="L89" i="5"/>
  <c r="L93" i="5"/>
  <c r="N179" i="5"/>
  <c r="N181" i="5" s="1"/>
  <c r="L179" i="5"/>
  <c r="O256" i="5"/>
  <c r="L256" i="5"/>
  <c r="L91" i="5"/>
  <c r="O261" i="5"/>
  <c r="L261" i="5"/>
  <c r="O257" i="5"/>
  <c r="L257" i="5"/>
  <c r="O258" i="5"/>
  <c r="L258" i="5"/>
  <c r="O262" i="5"/>
  <c r="L262" i="5"/>
  <c r="N105" i="1"/>
  <c r="N74" i="1"/>
  <c r="L316" i="5"/>
  <c r="L315" i="5"/>
  <c r="L145" i="5"/>
  <c r="N94" i="1"/>
  <c r="L317" i="5"/>
  <c r="L168" i="5"/>
  <c r="J178" i="5"/>
  <c r="J272" i="5"/>
  <c r="J256" i="5"/>
  <c r="I332" i="5" l="1"/>
  <c r="H332" i="5"/>
  <c r="G332" i="5"/>
  <c r="M293" i="5"/>
  <c r="M297" i="5"/>
  <c r="M295" i="5"/>
  <c r="M296" i="5"/>
  <c r="H307" i="5"/>
  <c r="M305" i="5"/>
  <c r="M307" i="5" s="1"/>
  <c r="I307" i="5"/>
  <c r="L293" i="5"/>
  <c r="L87" i="5"/>
  <c r="L294" i="5"/>
  <c r="L296" i="5"/>
  <c r="L291" i="5"/>
  <c r="L88" i="5"/>
  <c r="M88" i="5"/>
  <c r="L292" i="5"/>
  <c r="M292" i="5"/>
  <c r="L92" i="5"/>
  <c r="M92" i="5"/>
  <c r="L305" i="5"/>
  <c r="L307" i="5" s="1"/>
  <c r="L298" i="5"/>
  <c r="L295" i="5"/>
  <c r="L297" i="5"/>
  <c r="J145" i="5"/>
  <c r="I281" i="5"/>
  <c r="H281" i="5"/>
  <c r="N30" i="5"/>
  <c r="O29" i="5"/>
  <c r="N41" i="1"/>
  <c r="N96" i="1"/>
  <c r="M302" i="5" l="1"/>
  <c r="I242" i="5"/>
  <c r="I265" i="5"/>
  <c r="I270" i="5" s="1"/>
  <c r="H242" i="5"/>
  <c r="J47" i="5"/>
  <c r="J225" i="5" l="1"/>
  <c r="B1" i="6"/>
  <c r="N75" i="1" l="1"/>
  <c r="L108" i="5" l="1"/>
  <c r="J206" i="5" l="1"/>
  <c r="J205" i="5"/>
  <c r="M16" i="5" l="1"/>
  <c r="M18" i="5"/>
  <c r="M15" i="5"/>
  <c r="M17" i="5"/>
  <c r="O26" i="5"/>
  <c r="N26" i="5"/>
  <c r="N23" i="5"/>
  <c r="O23" i="5"/>
  <c r="N19" i="5"/>
  <c r="O19" i="5"/>
  <c r="N25" i="5"/>
  <c r="O25" i="5"/>
  <c r="O22" i="5"/>
  <c r="N22" i="5"/>
  <c r="O16" i="5"/>
  <c r="N16" i="5"/>
  <c r="N28" i="5"/>
  <c r="N21" i="5"/>
  <c r="O21" i="5"/>
  <c r="O18" i="5"/>
  <c r="N18" i="5"/>
  <c r="N15" i="5"/>
  <c r="O15" i="5"/>
  <c r="N27" i="5"/>
  <c r="O27" i="5"/>
  <c r="O24" i="5"/>
  <c r="N24" i="5"/>
  <c r="O20" i="5"/>
  <c r="N20" i="5"/>
  <c r="N17" i="5"/>
  <c r="O17" i="5"/>
  <c r="O86" i="5"/>
  <c r="N86" i="5"/>
  <c r="J40" i="5"/>
  <c r="J44" i="5"/>
  <c r="J48" i="5"/>
  <c r="J43" i="5"/>
  <c r="J42" i="5"/>
  <c r="J46" i="5"/>
  <c r="J45" i="5"/>
  <c r="J49" i="5"/>
  <c r="E76" i="1"/>
  <c r="H71" i="1"/>
  <c r="M71" i="1" s="1"/>
  <c r="M86" i="5" l="1"/>
  <c r="L86" i="5"/>
  <c r="O28" i="5"/>
  <c r="J204" i="5"/>
  <c r="J50" i="5"/>
  <c r="J51" i="5"/>
  <c r="J52" i="5"/>
  <c r="J53" i="5"/>
  <c r="J55" i="5"/>
  <c r="J57" i="5"/>
  <c r="M24" i="8"/>
  <c r="J316" i="5"/>
  <c r="J317" i="5"/>
  <c r="J318" i="5"/>
  <c r="J319" i="5"/>
  <c r="J320" i="5"/>
  <c r="J321" i="5"/>
  <c r="J291" i="5"/>
  <c r="J299" i="5"/>
  <c r="J257" i="5"/>
  <c r="J259" i="5"/>
  <c r="J260" i="5"/>
  <c r="J261" i="5"/>
  <c r="J262" i="5"/>
  <c r="J263" i="5"/>
  <c r="J226" i="5"/>
  <c r="J229" i="5"/>
  <c r="J56" i="5"/>
  <c r="M25" i="8"/>
  <c r="J59" i="5"/>
  <c r="J60" i="5"/>
  <c r="J61" i="5"/>
  <c r="J62" i="5"/>
  <c r="J63" i="5"/>
  <c r="F92" i="1"/>
  <c r="F76" i="1"/>
  <c r="I76" i="1"/>
  <c r="I80" i="1"/>
  <c r="G153" i="5" s="1"/>
  <c r="H153" i="5" s="1"/>
  <c r="I153" i="5" s="1"/>
  <c r="I84" i="1"/>
  <c r="G165" i="5" s="1"/>
  <c r="H165" i="5" s="1"/>
  <c r="I165" i="5" s="1"/>
  <c r="A60" i="1"/>
  <c r="J323" i="5"/>
  <c r="J324" i="5"/>
  <c r="J325" i="5"/>
  <c r="J158" i="5"/>
  <c r="J146" i="5"/>
  <c r="A66" i="1"/>
  <c r="A22" i="1"/>
  <c r="A21" i="1"/>
  <c r="A20" i="1"/>
  <c r="J207" i="5"/>
  <c r="J246" i="5"/>
  <c r="J274" i="5"/>
  <c r="J275" i="5"/>
  <c r="J276" i="5"/>
  <c r="J277" i="5"/>
  <c r="J278" i="5"/>
  <c r="J279" i="5"/>
  <c r="J300" i="5"/>
  <c r="J315" i="5"/>
  <c r="L80" i="5"/>
  <c r="L82" i="5"/>
  <c r="F6" i="1"/>
  <c r="F7" i="1" s="1"/>
  <c r="F8" i="1" s="1"/>
  <c r="F9" i="1" s="1"/>
  <c r="F10" i="1" s="1"/>
  <c r="A27" i="1"/>
  <c r="A42" i="1"/>
  <c r="A70" i="1"/>
  <c r="A62" i="1"/>
  <c r="A55" i="1"/>
  <c r="A35" i="1"/>
  <c r="L165" i="5" l="1"/>
  <c r="M84" i="5"/>
  <c r="M82" i="5"/>
  <c r="M85" i="5"/>
  <c r="M81" i="5"/>
  <c r="M79" i="5"/>
  <c r="M83" i="5"/>
  <c r="M13" i="5"/>
  <c r="M80" i="5"/>
  <c r="L79" i="5"/>
  <c r="L84" i="5"/>
  <c r="L83" i="5"/>
  <c r="L85" i="5"/>
  <c r="L81" i="5"/>
  <c r="J307" i="5"/>
  <c r="J308" i="5" s="1"/>
  <c r="J281" i="5"/>
  <c r="J282" i="5" s="1"/>
  <c r="J165" i="5"/>
  <c r="O84" i="5"/>
  <c r="N84" i="5"/>
  <c r="O80" i="5"/>
  <c r="N80" i="5"/>
  <c r="N79" i="5"/>
  <c r="O79" i="5"/>
  <c r="N83" i="5"/>
  <c r="O83" i="5"/>
  <c r="O13" i="5"/>
  <c r="O65" i="5" s="1"/>
  <c r="N13" i="5"/>
  <c r="N65" i="5" s="1"/>
  <c r="O82" i="5"/>
  <c r="N82" i="5"/>
  <c r="N85" i="5"/>
  <c r="O85" i="5"/>
  <c r="N81" i="5"/>
  <c r="O81" i="5"/>
  <c r="N38" i="1"/>
  <c r="K125" i="1"/>
  <c r="J168" i="5"/>
  <c r="G138" i="5"/>
  <c r="H138" i="5" s="1"/>
  <c r="I138" i="5" s="1"/>
  <c r="A43" i="1"/>
  <c r="A44" i="1" s="1"/>
  <c r="A84" i="1"/>
  <c r="G140" i="5"/>
  <c r="H140" i="5" s="1"/>
  <c r="I140" i="5" s="1"/>
  <c r="G186" i="5"/>
  <c r="J242" i="5"/>
  <c r="J241" i="5" s="1"/>
  <c r="A80" i="1"/>
  <c r="I117" i="1"/>
  <c r="G111" i="5"/>
  <c r="G184" i="5"/>
  <c r="I97" i="1"/>
  <c r="I123" i="1"/>
  <c r="I136" i="1"/>
  <c r="I69" i="1"/>
  <c r="G126" i="5" s="1"/>
  <c r="J126" i="5" s="1"/>
  <c r="M10" i="6"/>
  <c r="M23" i="8"/>
  <c r="J322" i="5"/>
  <c r="J58" i="5"/>
  <c r="J54" i="5"/>
  <c r="J181" i="5"/>
  <c r="J180" i="5" s="1"/>
  <c r="J179" i="5"/>
  <c r="J156" i="5"/>
  <c r="K130" i="1"/>
  <c r="M130" i="1" s="1"/>
  <c r="F84" i="1"/>
  <c r="K84" i="1"/>
  <c r="L84" i="1"/>
  <c r="G162" i="5"/>
  <c r="H162" i="5" s="1"/>
  <c r="H125" i="1"/>
  <c r="M125" i="1" s="1"/>
  <c r="F80" i="1"/>
  <c r="G151" i="5" s="1"/>
  <c r="H151" i="5" s="1"/>
  <c r="I151" i="5" s="1"/>
  <c r="H78" i="1"/>
  <c r="M78" i="1" s="1"/>
  <c r="K80" i="1"/>
  <c r="G154" i="5" s="1"/>
  <c r="H154" i="5" s="1"/>
  <c r="I154" i="5" s="1"/>
  <c r="L80" i="1"/>
  <c r="G155" i="5" s="1"/>
  <c r="H155" i="5" s="1"/>
  <c r="I155" i="5" s="1"/>
  <c r="E80" i="1"/>
  <c r="G150" i="5" s="1"/>
  <c r="M26" i="8"/>
  <c r="H90" i="1"/>
  <c r="K92" i="1"/>
  <c r="L92" i="1"/>
  <c r="K132" i="1"/>
  <c r="M132" i="1" s="1"/>
  <c r="H111" i="1"/>
  <c r="M111" i="1" s="1"/>
  <c r="K129" i="1"/>
  <c r="M129" i="1" s="1"/>
  <c r="H26" i="1"/>
  <c r="M26" i="1" s="1"/>
  <c r="M22" i="8"/>
  <c r="H119" i="1"/>
  <c r="M119" i="1" s="1"/>
  <c r="H27" i="1"/>
  <c r="M27" i="1" s="1"/>
  <c r="I137" i="1" l="1"/>
  <c r="G166" i="5"/>
  <c r="H166" i="5" s="1"/>
  <c r="I166" i="5" s="1"/>
  <c r="G163" i="5"/>
  <c r="H163" i="5" s="1"/>
  <c r="I163" i="5" s="1"/>
  <c r="G167" i="5"/>
  <c r="H167" i="5" s="1"/>
  <c r="I167" i="5" s="1"/>
  <c r="H92" i="1"/>
  <c r="G185" i="5" s="1"/>
  <c r="M90" i="1"/>
  <c r="H111" i="5"/>
  <c r="I111" i="5" s="1"/>
  <c r="J111" i="5"/>
  <c r="H186" i="5"/>
  <c r="I186" i="5" s="1"/>
  <c r="J186" i="5"/>
  <c r="H184" i="5"/>
  <c r="I184" i="5" s="1"/>
  <c r="J184" i="5"/>
  <c r="I162" i="5"/>
  <c r="H150" i="5"/>
  <c r="I126" i="5"/>
  <c r="H126" i="5"/>
  <c r="G75" i="5"/>
  <c r="J75" i="5" s="1"/>
  <c r="M105" i="5"/>
  <c r="L167" i="5"/>
  <c r="L166" i="5"/>
  <c r="L126" i="5"/>
  <c r="L186" i="5"/>
  <c r="L184" i="5"/>
  <c r="G183" i="5"/>
  <c r="L153" i="5"/>
  <c r="L150" i="5"/>
  <c r="L140" i="5"/>
  <c r="L162" i="5"/>
  <c r="L138" i="5"/>
  <c r="J306" i="5"/>
  <c r="J280" i="5"/>
  <c r="O105" i="5"/>
  <c r="J166" i="5"/>
  <c r="J162" i="5"/>
  <c r="N162" i="5"/>
  <c r="N170" i="5" s="1"/>
  <c r="N105" i="5"/>
  <c r="F123" i="1"/>
  <c r="F43" i="1"/>
  <c r="G109" i="5" s="1"/>
  <c r="K133" i="1"/>
  <c r="M133" i="1" s="1"/>
  <c r="H32" i="1"/>
  <c r="M32" i="1" s="1"/>
  <c r="F117" i="1"/>
  <c r="L111" i="5"/>
  <c r="L312" i="5"/>
  <c r="K135" i="1"/>
  <c r="M135" i="1" s="1"/>
  <c r="K134" i="1"/>
  <c r="M134" i="1" s="1"/>
  <c r="H33" i="1"/>
  <c r="M33" i="1" s="1"/>
  <c r="E136" i="1"/>
  <c r="K127" i="1"/>
  <c r="M127" i="1" s="1"/>
  <c r="H30" i="1"/>
  <c r="M30" i="1" s="1"/>
  <c r="J140" i="5"/>
  <c r="J150" i="5"/>
  <c r="J138" i="5"/>
  <c r="J153" i="5"/>
  <c r="H29" i="1"/>
  <c r="M29" i="1" s="1"/>
  <c r="G287" i="5"/>
  <c r="H31" i="1"/>
  <c r="M31" i="1" s="1"/>
  <c r="G222" i="5"/>
  <c r="J243" i="5"/>
  <c r="H34" i="1"/>
  <c r="M34" i="1" s="1"/>
  <c r="J182" i="5"/>
  <c r="J332" i="5"/>
  <c r="H84" i="1"/>
  <c r="K131" i="1"/>
  <c r="M131" i="1" s="1"/>
  <c r="H76" i="1"/>
  <c r="G137" i="5"/>
  <c r="H137" i="5" s="1"/>
  <c r="I137" i="5" s="1"/>
  <c r="N40" i="1"/>
  <c r="N27" i="1"/>
  <c r="H80" i="1"/>
  <c r="G152" i="5" s="1"/>
  <c r="H152" i="5" s="1"/>
  <c r="I152" i="5" s="1"/>
  <c r="G164" i="5" l="1"/>
  <c r="H164" i="5" s="1"/>
  <c r="I164" i="5" s="1"/>
  <c r="I170" i="5" s="1"/>
  <c r="J163" i="5"/>
  <c r="L163" i="5"/>
  <c r="J167" i="5"/>
  <c r="K24" i="1"/>
  <c r="L24" i="1"/>
  <c r="H24" i="1"/>
  <c r="H43" i="1"/>
  <c r="G110" i="5" s="1"/>
  <c r="H185" i="5"/>
  <c r="I185" i="5" s="1"/>
  <c r="J185" i="5"/>
  <c r="I287" i="5"/>
  <c r="H287" i="5"/>
  <c r="H183" i="5"/>
  <c r="I222" i="5"/>
  <c r="H222" i="5"/>
  <c r="G170" i="5"/>
  <c r="I150" i="5"/>
  <c r="I160" i="5" s="1"/>
  <c r="H160" i="5"/>
  <c r="G160" i="5"/>
  <c r="H75" i="5"/>
  <c r="I75" i="5"/>
  <c r="N90" i="1"/>
  <c r="M92" i="1"/>
  <c r="N92" i="1" s="1"/>
  <c r="N93" i="1" s="1"/>
  <c r="G187" i="5"/>
  <c r="J183" i="5"/>
  <c r="N183" i="5"/>
  <c r="L183" i="5"/>
  <c r="L185" i="5"/>
  <c r="J155" i="5"/>
  <c r="G188" i="5"/>
  <c r="L151" i="5"/>
  <c r="L155" i="5"/>
  <c r="L253" i="5"/>
  <c r="L75" i="5"/>
  <c r="L287" i="5"/>
  <c r="L222" i="5"/>
  <c r="L137" i="5"/>
  <c r="J312" i="5"/>
  <c r="J253" i="5"/>
  <c r="O253" i="5"/>
  <c r="F35" i="1"/>
  <c r="F109" i="1"/>
  <c r="F24" i="1"/>
  <c r="G73" i="5" s="1"/>
  <c r="F136" i="1"/>
  <c r="N23" i="1"/>
  <c r="N18" i="1"/>
  <c r="N33" i="1"/>
  <c r="G218" i="5"/>
  <c r="K97" i="1"/>
  <c r="G285" i="5"/>
  <c r="L97" i="1"/>
  <c r="G107" i="5"/>
  <c r="F97" i="1"/>
  <c r="N71" i="1"/>
  <c r="N73" i="1"/>
  <c r="N19" i="1"/>
  <c r="N59" i="1"/>
  <c r="N72" i="1"/>
  <c r="N104" i="1"/>
  <c r="N129" i="1"/>
  <c r="N55" i="1"/>
  <c r="N67" i="1"/>
  <c r="N42" i="1"/>
  <c r="N57" i="1"/>
  <c r="N60" i="1"/>
  <c r="N126" i="1"/>
  <c r="H136" i="1"/>
  <c r="N122" i="1"/>
  <c r="N54" i="1"/>
  <c r="N56" i="1"/>
  <c r="N58" i="1"/>
  <c r="K43" i="1"/>
  <c r="G112" i="5" s="1"/>
  <c r="L43" i="1"/>
  <c r="G113" i="5" s="1"/>
  <c r="N30" i="1"/>
  <c r="N32" i="1"/>
  <c r="N108" i="1"/>
  <c r="N61" i="1"/>
  <c r="N113" i="1"/>
  <c r="N133" i="1"/>
  <c r="N21" i="1"/>
  <c r="K136" i="1"/>
  <c r="N29" i="1"/>
  <c r="N132" i="1"/>
  <c r="N66" i="1"/>
  <c r="L136" i="1"/>
  <c r="N22" i="1"/>
  <c r="J222" i="5"/>
  <c r="J151" i="5"/>
  <c r="J287" i="5"/>
  <c r="K76" i="1"/>
  <c r="G141" i="5" s="1"/>
  <c r="H141" i="5" s="1"/>
  <c r="I141" i="5" s="1"/>
  <c r="L76" i="1"/>
  <c r="G142" i="5" s="1"/>
  <c r="H142" i="5" s="1"/>
  <c r="I142" i="5" s="1"/>
  <c r="N31" i="1"/>
  <c r="N34" i="1"/>
  <c r="E35" i="1"/>
  <c r="H28" i="1"/>
  <c r="M28" i="1" s="1"/>
  <c r="K35" i="1"/>
  <c r="L35" i="1"/>
  <c r="N20" i="1"/>
  <c r="M80" i="1"/>
  <c r="N80" i="1" s="1"/>
  <c r="N81" i="1" s="1"/>
  <c r="N78" i="1"/>
  <c r="H97" i="1"/>
  <c r="N125" i="1"/>
  <c r="N120" i="1"/>
  <c r="N130" i="1"/>
  <c r="J137" i="5"/>
  <c r="N26" i="1"/>
  <c r="N14" i="1"/>
  <c r="M76" i="1"/>
  <c r="G139" i="5"/>
  <c r="H139" i="5" s="1"/>
  <c r="I139" i="5" s="1"/>
  <c r="N53" i="1"/>
  <c r="M84" i="1"/>
  <c r="J331" i="5"/>
  <c r="J333" i="5"/>
  <c r="L164" i="5" l="1"/>
  <c r="L170" i="5" s="1"/>
  <c r="N84" i="1"/>
  <c r="N89" i="1" s="1"/>
  <c r="J164" i="5"/>
  <c r="N85" i="1"/>
  <c r="N17" i="1"/>
  <c r="M24" i="1"/>
  <c r="N24" i="1" s="1"/>
  <c r="N25" i="1" s="1"/>
  <c r="J73" i="5"/>
  <c r="H110" i="5"/>
  <c r="I110" i="5" s="1"/>
  <c r="J110" i="5"/>
  <c r="H113" i="5"/>
  <c r="I113" i="5" s="1"/>
  <c r="J113" i="5"/>
  <c r="H112" i="5"/>
  <c r="I112" i="5" s="1"/>
  <c r="J112" i="5"/>
  <c r="H107" i="5"/>
  <c r="I107" i="5" s="1"/>
  <c r="J107" i="5"/>
  <c r="H188" i="5"/>
  <c r="I188" i="5" s="1"/>
  <c r="J188" i="5"/>
  <c r="H187" i="5"/>
  <c r="I187" i="5" s="1"/>
  <c r="J187" i="5"/>
  <c r="H109" i="5"/>
  <c r="I109" i="5" s="1"/>
  <c r="J109" i="5"/>
  <c r="I285" i="5"/>
  <c r="H285" i="5"/>
  <c r="G194" i="5"/>
  <c r="N194" i="5"/>
  <c r="N335" i="5" s="1"/>
  <c r="N337" i="5" s="1"/>
  <c r="H170" i="5"/>
  <c r="I183" i="5"/>
  <c r="H218" i="5"/>
  <c r="I218" i="5"/>
  <c r="I148" i="5"/>
  <c r="H73" i="5"/>
  <c r="I73" i="5"/>
  <c r="G148" i="5"/>
  <c r="L309" i="5"/>
  <c r="G121" i="5"/>
  <c r="H148" i="5"/>
  <c r="L285" i="5"/>
  <c r="L218" i="5"/>
  <c r="L109" i="5"/>
  <c r="G220" i="5"/>
  <c r="L107" i="5"/>
  <c r="J154" i="5"/>
  <c r="L154" i="5"/>
  <c r="G123" i="5"/>
  <c r="L188" i="5"/>
  <c r="L187" i="5"/>
  <c r="L152" i="5"/>
  <c r="L139" i="5"/>
  <c r="L141" i="5"/>
  <c r="L251" i="5"/>
  <c r="L142" i="5"/>
  <c r="L71" i="5"/>
  <c r="J218" i="5"/>
  <c r="J170" i="5"/>
  <c r="J169" i="5" s="1"/>
  <c r="J309" i="5"/>
  <c r="J285" i="5"/>
  <c r="J251" i="5"/>
  <c r="O251" i="5"/>
  <c r="L310" i="5"/>
  <c r="F69" i="1"/>
  <c r="F137" i="1" s="1"/>
  <c r="N63" i="1"/>
  <c r="N64" i="1"/>
  <c r="N65" i="1"/>
  <c r="H69" i="1"/>
  <c r="G125" i="5" s="1"/>
  <c r="J125" i="5" s="1"/>
  <c r="L69" i="1"/>
  <c r="G128" i="5" s="1"/>
  <c r="J128" i="5" s="1"/>
  <c r="K69" i="1"/>
  <c r="G127" i="5" s="1"/>
  <c r="J127" i="5" s="1"/>
  <c r="N131" i="1"/>
  <c r="N95" i="1"/>
  <c r="L314" i="5"/>
  <c r="L313" i="5"/>
  <c r="L311" i="5"/>
  <c r="G219" i="5"/>
  <c r="L110" i="5"/>
  <c r="L109" i="1"/>
  <c r="N107" i="1"/>
  <c r="N68" i="1"/>
  <c r="N116" i="1"/>
  <c r="N135" i="1"/>
  <c r="N121" i="1"/>
  <c r="N106" i="1"/>
  <c r="N134" i="1"/>
  <c r="N103" i="1"/>
  <c r="L112" i="5"/>
  <c r="L113" i="5"/>
  <c r="N119" i="1"/>
  <c r="M43" i="1"/>
  <c r="N39" i="1"/>
  <c r="J142" i="5"/>
  <c r="J139" i="5"/>
  <c r="J141" i="5"/>
  <c r="N37" i="1"/>
  <c r="H35" i="1"/>
  <c r="J152" i="5"/>
  <c r="N101" i="1"/>
  <c r="H109" i="1"/>
  <c r="M136" i="1"/>
  <c r="N76" i="1"/>
  <c r="N77" i="1" s="1"/>
  <c r="E117" i="1"/>
  <c r="G77" i="5"/>
  <c r="J77" i="5" s="1"/>
  <c r="G76" i="5"/>
  <c r="J76" i="5" s="1"/>
  <c r="I121" i="5" l="1"/>
  <c r="N62" i="1"/>
  <c r="M69" i="1"/>
  <c r="N69" i="1" s="1"/>
  <c r="N70" i="1" s="1"/>
  <c r="H194" i="5"/>
  <c r="I194" i="5"/>
  <c r="L194" i="5"/>
  <c r="I219" i="5"/>
  <c r="H219" i="5"/>
  <c r="I220" i="5"/>
  <c r="H220" i="5"/>
  <c r="I128" i="5"/>
  <c r="H128" i="5"/>
  <c r="I127" i="5"/>
  <c r="H127" i="5"/>
  <c r="I125" i="5"/>
  <c r="H125" i="5"/>
  <c r="H123" i="5"/>
  <c r="I123" i="5"/>
  <c r="I76" i="5"/>
  <c r="H76" i="5"/>
  <c r="H77" i="5"/>
  <c r="I77" i="5"/>
  <c r="G327" i="5"/>
  <c r="Q335" i="5" s="1"/>
  <c r="L148" i="5"/>
  <c r="L121" i="5"/>
  <c r="H121" i="5"/>
  <c r="L219" i="5"/>
  <c r="L220" i="5"/>
  <c r="G224" i="5"/>
  <c r="G221" i="5"/>
  <c r="L160" i="5"/>
  <c r="J194" i="5"/>
  <c r="J193" i="5" s="1"/>
  <c r="L127" i="5"/>
  <c r="J123" i="5"/>
  <c r="L123" i="5"/>
  <c r="L128" i="5"/>
  <c r="L125" i="5"/>
  <c r="L73" i="5"/>
  <c r="G124" i="5"/>
  <c r="J124" i="5" s="1"/>
  <c r="L327" i="5"/>
  <c r="J171" i="5"/>
  <c r="J148" i="5"/>
  <c r="J147" i="5" s="1"/>
  <c r="J219" i="5"/>
  <c r="J313" i="5"/>
  <c r="J220" i="5"/>
  <c r="J314" i="5"/>
  <c r="J310" i="5"/>
  <c r="J160" i="5"/>
  <c r="J159" i="5" s="1"/>
  <c r="J311" i="5"/>
  <c r="H327" i="5"/>
  <c r="M97" i="1"/>
  <c r="M109" i="1"/>
  <c r="K109" i="1"/>
  <c r="L117" i="1"/>
  <c r="L123" i="1"/>
  <c r="L137" i="1" s="1"/>
  <c r="G283" i="5"/>
  <c r="N43" i="1"/>
  <c r="N28" i="1"/>
  <c r="M35" i="1"/>
  <c r="N35" i="1" s="1"/>
  <c r="N36" i="1" s="1"/>
  <c r="G74" i="5"/>
  <c r="H117" i="1"/>
  <c r="N136" i="1"/>
  <c r="N97" i="1" l="1"/>
  <c r="N98" i="1" s="1"/>
  <c r="J74" i="5"/>
  <c r="H283" i="5"/>
  <c r="I283" i="5"/>
  <c r="I224" i="5"/>
  <c r="H224" i="5"/>
  <c r="I221" i="5"/>
  <c r="H221" i="5"/>
  <c r="I124" i="5"/>
  <c r="I135" i="5" s="1"/>
  <c r="H124" i="5"/>
  <c r="H135" i="5" s="1"/>
  <c r="G105" i="5"/>
  <c r="J105" i="5" s="1"/>
  <c r="I74" i="5"/>
  <c r="I105" i="5" s="1"/>
  <c r="H74" i="5"/>
  <c r="H105" i="5" s="1"/>
  <c r="G135" i="5"/>
  <c r="L283" i="5"/>
  <c r="L224" i="5"/>
  <c r="J224" i="5"/>
  <c r="J221" i="5"/>
  <c r="G223" i="5"/>
  <c r="L221" i="5"/>
  <c r="J195" i="5"/>
  <c r="L124" i="5"/>
  <c r="L135" i="5" s="1"/>
  <c r="L76" i="5"/>
  <c r="L77" i="5"/>
  <c r="J149" i="5"/>
  <c r="J121" i="5"/>
  <c r="J161" i="5"/>
  <c r="J283" i="5"/>
  <c r="I327" i="5"/>
  <c r="J327" i="5"/>
  <c r="J326" i="5" s="1"/>
  <c r="M117" i="1"/>
  <c r="N117" i="1" s="1"/>
  <c r="N118" i="1" s="1"/>
  <c r="K117" i="1"/>
  <c r="N102" i="1"/>
  <c r="N111" i="1"/>
  <c r="K123" i="1"/>
  <c r="K137" i="1" s="1"/>
  <c r="G289" i="5"/>
  <c r="H123" i="1"/>
  <c r="H137" i="1" s="1"/>
  <c r="M123" i="1"/>
  <c r="M137" i="1" s="1"/>
  <c r="E123" i="1"/>
  <c r="N44" i="1"/>
  <c r="N127" i="1"/>
  <c r="N109" i="1"/>
  <c r="N110" i="1" s="1"/>
  <c r="I138" i="1" l="1"/>
  <c r="L138" i="1"/>
  <c r="N123" i="1"/>
  <c r="N124" i="1" s="1"/>
  <c r="J120" i="5"/>
  <c r="J122" i="5"/>
  <c r="J104" i="5"/>
  <c r="J106" i="5"/>
  <c r="I289" i="5"/>
  <c r="H289" i="5"/>
  <c r="G237" i="5"/>
  <c r="I223" i="5"/>
  <c r="I237" i="5" s="1"/>
  <c r="H223" i="5"/>
  <c r="H237" i="5" s="1"/>
  <c r="L289" i="5"/>
  <c r="L223" i="5"/>
  <c r="L237" i="5" s="1"/>
  <c r="J135" i="5"/>
  <c r="L255" i="5"/>
  <c r="L74" i="5"/>
  <c r="L105" i="5" s="1"/>
  <c r="J289" i="5"/>
  <c r="J255" i="5"/>
  <c r="O255" i="5"/>
  <c r="J328" i="5"/>
  <c r="J329" i="5" s="1"/>
  <c r="J330" i="5" s="1"/>
  <c r="G288" i="5"/>
  <c r="J223" i="5"/>
  <c r="G286" i="5"/>
  <c r="G284" i="5"/>
  <c r="N112" i="1"/>
  <c r="J134" i="5" l="1"/>
  <c r="J136" i="5"/>
  <c r="M138" i="1"/>
  <c r="H138" i="1"/>
  <c r="K138" i="1"/>
  <c r="E138" i="1"/>
  <c r="I284" i="5"/>
  <c r="H284" i="5"/>
  <c r="I286" i="5"/>
  <c r="H286" i="5"/>
  <c r="I288" i="5"/>
  <c r="H288" i="5"/>
  <c r="G302" i="5"/>
  <c r="L286" i="5"/>
  <c r="L288" i="5"/>
  <c r="L284" i="5"/>
  <c r="L252" i="5"/>
  <c r="L254" i="5"/>
  <c r="J286" i="5"/>
  <c r="J237" i="5"/>
  <c r="J238" i="5" s="1"/>
  <c r="J288" i="5"/>
  <c r="J254" i="5"/>
  <c r="O254" i="5"/>
  <c r="J252" i="5"/>
  <c r="O252" i="5"/>
  <c r="J41" i="5"/>
  <c r="J284" i="5"/>
  <c r="R335" i="5" l="1"/>
  <c r="G335" i="5"/>
  <c r="Q339" i="5" s="1"/>
  <c r="I302" i="5"/>
  <c r="L302" i="5"/>
  <c r="H302" i="5"/>
  <c r="H265" i="5"/>
  <c r="H270" i="5" s="1"/>
  <c r="J236" i="5"/>
  <c r="J302" i="5"/>
  <c r="L250" i="5"/>
  <c r="L265" i="5" s="1"/>
  <c r="L270" i="5" s="1"/>
  <c r="L281" i="5" s="1"/>
  <c r="G337" i="5" l="1"/>
  <c r="P335" i="5" s="1"/>
  <c r="O250" i="5"/>
  <c r="O265" i="5" s="1"/>
  <c r="J250" i="5"/>
  <c r="J301" i="5"/>
  <c r="J303" i="5"/>
  <c r="O335" i="5" l="1"/>
  <c r="O337" i="5" s="1"/>
  <c r="O270" i="5"/>
  <c r="M245" i="5"/>
  <c r="R336" i="5"/>
  <c r="R337" i="5" s="1"/>
  <c r="N137" i="1"/>
  <c r="J245" i="5"/>
  <c r="J265" i="5"/>
  <c r="J264" i="5" l="1"/>
  <c r="J266" i="5"/>
  <c r="H65" i="5" l="1"/>
  <c r="L201" i="5"/>
  <c r="L198" i="5" l="1"/>
  <c r="L209" i="5" s="1"/>
  <c r="L335" i="5" s="1"/>
  <c r="L216" i="5" l="1"/>
  <c r="M201" i="5" l="1"/>
  <c r="M198" i="5" l="1"/>
  <c r="H248" i="5"/>
  <c r="I248" i="5"/>
  <c r="M244" i="5"/>
  <c r="M248" i="5" s="1"/>
  <c r="J244" i="5"/>
  <c r="J248" i="5" l="1"/>
  <c r="J247" i="5" l="1"/>
  <c r="J249" i="5"/>
  <c r="M55" i="6" l="1"/>
  <c r="H209" i="5" l="1"/>
  <c r="H335" i="5" s="1"/>
  <c r="H337" i="5" s="1"/>
  <c r="H341" i="5" s="1"/>
  <c r="Q336" i="5"/>
  <c r="M209" i="5"/>
  <c r="M216" i="5" s="1"/>
  <c r="H216" i="5" l="1"/>
  <c r="J209" i="5"/>
  <c r="I209" i="5"/>
  <c r="I216" i="5" s="1"/>
  <c r="Q337" i="5"/>
  <c r="M335" i="5"/>
  <c r="J210" i="5" l="1"/>
  <c r="J208" i="5"/>
  <c r="J216" i="5"/>
  <c r="I65" i="5"/>
  <c r="M19" i="5"/>
  <c r="M65" i="5" s="1"/>
  <c r="M337" i="5" s="1"/>
  <c r="I335" i="5"/>
  <c r="J215" i="5" l="1"/>
  <c r="J217" i="5"/>
  <c r="J335" i="5"/>
  <c r="J334" i="5" s="1"/>
  <c r="I337" i="5"/>
  <c r="I341" i="5" s="1"/>
  <c r="J65" i="5"/>
  <c r="J66" i="5" s="1"/>
  <c r="D337" i="5" l="1"/>
  <c r="G341" i="5"/>
  <c r="J64" i="5"/>
</calcChain>
</file>

<file path=xl/sharedStrings.xml><?xml version="1.0" encoding="utf-8"?>
<sst xmlns="http://schemas.openxmlformats.org/spreadsheetml/2006/main" count="988" uniqueCount="315">
  <si>
    <t xml:space="preserve">10040005100120                               </t>
  </si>
  <si>
    <t xml:space="preserve">Classroom Teachers                                </t>
  </si>
  <si>
    <t xml:space="preserve">Classroom Aides                                   </t>
  </si>
  <si>
    <t xml:space="preserve">10040005200120                               </t>
  </si>
  <si>
    <t xml:space="preserve">ESE Teacher                                       </t>
  </si>
  <si>
    <t xml:space="preserve">Guidance                                          </t>
  </si>
  <si>
    <t xml:space="preserve">10040007300110                               </t>
  </si>
  <si>
    <t xml:space="preserve">Administrator                                     </t>
  </si>
  <si>
    <t xml:space="preserve">10040007300160                               </t>
  </si>
  <si>
    <t xml:space="preserve">Administrative Assistants                         </t>
  </si>
  <si>
    <t xml:space="preserve">10040007900160                               </t>
  </si>
  <si>
    <t xml:space="preserve">Custodians                                        </t>
  </si>
  <si>
    <t>ALL FUNDS</t>
  </si>
  <si>
    <t>Security Guard</t>
  </si>
  <si>
    <t>100-4000-5100-120</t>
  </si>
  <si>
    <t>100-4000-7300-160</t>
  </si>
  <si>
    <t>891-4000-9100-150</t>
  </si>
  <si>
    <t>100-4000-5200-120</t>
  </si>
  <si>
    <t>100-4000-7900-160</t>
  </si>
  <si>
    <t>100-4000-7300-110</t>
  </si>
  <si>
    <t>100-4000-7900-165</t>
  </si>
  <si>
    <t>Workers Comp</t>
  </si>
  <si>
    <t>Retirement</t>
  </si>
  <si>
    <t>Instruction</t>
  </si>
  <si>
    <t>Social Security</t>
  </si>
  <si>
    <t>Administrative</t>
  </si>
  <si>
    <t>#</t>
  </si>
  <si>
    <t>Account Code</t>
  </si>
  <si>
    <t>Name</t>
  </si>
  <si>
    <t>Unemply Comp</t>
  </si>
  <si>
    <t>Revenues</t>
  </si>
  <si>
    <t>Total Revenues</t>
  </si>
  <si>
    <t>Expenditures</t>
  </si>
  <si>
    <t>Total Instruction</t>
  </si>
  <si>
    <t>Total Exceptional Instruction</t>
  </si>
  <si>
    <t>Total Pupil Personnel Services</t>
  </si>
  <si>
    <t>Total Instruction Media Sources</t>
  </si>
  <si>
    <t xml:space="preserve">Total Instruction and Curriculum Development </t>
  </si>
  <si>
    <t>Total Instructional Staff Training Services</t>
  </si>
  <si>
    <t>Total School Administration</t>
  </si>
  <si>
    <t>Total Fiscal Services</t>
  </si>
  <si>
    <t>Total Food Services</t>
  </si>
  <si>
    <t>Total Pupil Transportation Services</t>
  </si>
  <si>
    <t>Total Operation of Plant</t>
  </si>
  <si>
    <t>Total Maintenance of Plant</t>
  </si>
  <si>
    <t>Total Expenditures</t>
  </si>
  <si>
    <t>BY FUNCTION &amp; OBJECT</t>
  </si>
  <si>
    <t>Account Number</t>
  </si>
  <si>
    <t>Description</t>
  </si>
  <si>
    <t>Total Board</t>
  </si>
  <si>
    <t>Total Facilities Acquisition</t>
  </si>
  <si>
    <t>Assumptions</t>
  </si>
  <si>
    <t xml:space="preserve">Retirement                                        </t>
  </si>
  <si>
    <t xml:space="preserve">Social Security                                   </t>
  </si>
  <si>
    <t xml:space="preserve">Group Insurance                                   </t>
  </si>
  <si>
    <t xml:space="preserve">Workers Compensation                              </t>
  </si>
  <si>
    <t xml:space="preserve">Unemployment Compensation                         </t>
  </si>
  <si>
    <t xml:space="preserve">Media Specialist                                  </t>
  </si>
  <si>
    <t>Budget</t>
  </si>
  <si>
    <t>Contracted Services</t>
  </si>
  <si>
    <t>Insurance</t>
  </si>
  <si>
    <t>District Admin Fees</t>
  </si>
  <si>
    <t xml:space="preserve"> </t>
  </si>
  <si>
    <t>n</t>
  </si>
  <si>
    <t>Custodial</t>
  </si>
  <si>
    <t>Security</t>
  </si>
  <si>
    <t>Food Service</t>
  </si>
  <si>
    <t>Aftercare</t>
  </si>
  <si>
    <t>100-4000-5100-750</t>
  </si>
  <si>
    <t xml:space="preserve">Substitute Teachers                      </t>
  </si>
  <si>
    <t>After Care</t>
  </si>
  <si>
    <t>*</t>
  </si>
  <si>
    <t>Custodians</t>
  </si>
  <si>
    <t>Food Service Clerk</t>
  </si>
  <si>
    <t>Total Aftercare</t>
  </si>
  <si>
    <t>Aftercare Worker</t>
  </si>
  <si>
    <t>Administrators</t>
  </si>
  <si>
    <t>10040005100750</t>
  </si>
  <si>
    <t>ESE Teachers</t>
  </si>
  <si>
    <t>Total Debt Service</t>
  </si>
  <si>
    <t>Media Specialist</t>
  </si>
  <si>
    <t>100-4000-6200-130</t>
  </si>
  <si>
    <t>10040006200130</t>
  </si>
  <si>
    <t>100-4000-6100-120</t>
  </si>
  <si>
    <t>10040006100120</t>
  </si>
  <si>
    <t>89140009100150</t>
  </si>
  <si>
    <t>Total</t>
  </si>
  <si>
    <t>100-4000-6300-120</t>
  </si>
  <si>
    <t>10040006300120</t>
  </si>
  <si>
    <t>Projected</t>
  </si>
  <si>
    <t>Expense Input Schedule</t>
  </si>
  <si>
    <t>Payroll Input Schedule</t>
  </si>
  <si>
    <t>Revenue Input Schedule</t>
  </si>
  <si>
    <t>Guidance</t>
  </si>
  <si>
    <t>ESE Aides</t>
  </si>
  <si>
    <t>100-4000-5200-150</t>
  </si>
  <si>
    <t>10040005200150</t>
  </si>
  <si>
    <t xml:space="preserve">ESE Aide                                       </t>
  </si>
  <si>
    <t>Campus</t>
  </si>
  <si>
    <t>Total Instruction Related Technology</t>
  </si>
  <si>
    <t>PY + Inf</t>
  </si>
  <si>
    <t>y</t>
  </si>
  <si>
    <t>Florida Teacher's Lead Program</t>
  </si>
  <si>
    <t>Other Misc Revenue</t>
  </si>
  <si>
    <t>Donations</t>
  </si>
  <si>
    <t>Copy and Printing</t>
  </si>
  <si>
    <t>Instructional Materials</t>
  </si>
  <si>
    <t>Textbooks</t>
  </si>
  <si>
    <t>Software</t>
  </si>
  <si>
    <t>Substitute Teachers</t>
  </si>
  <si>
    <t>Staff Development</t>
  </si>
  <si>
    <t>Technology Support &amp; Service</t>
  </si>
  <si>
    <t>Legal and Audit Expense</t>
  </si>
  <si>
    <t>Dues and Fees</t>
  </si>
  <si>
    <t>Bank Charges</t>
  </si>
  <si>
    <t>Travel / Conferences / Workshops</t>
  </si>
  <si>
    <t>Postage</t>
  </si>
  <si>
    <t>Advertising</t>
  </si>
  <si>
    <t>Office Expense</t>
  </si>
  <si>
    <t>Facility Lease</t>
  </si>
  <si>
    <t>Contract Controller Service</t>
  </si>
  <si>
    <t>Payroll Service</t>
  </si>
  <si>
    <t>Electricity</t>
  </si>
  <si>
    <t>Transportation-Contracted Services</t>
  </si>
  <si>
    <t>Insurance - Building</t>
  </si>
  <si>
    <t>Communications</t>
  </si>
  <si>
    <t>Other Contracted Bldg. Services</t>
  </si>
  <si>
    <t>Custodial Supplies</t>
  </si>
  <si>
    <t>Repairs and Maintenance</t>
  </si>
  <si>
    <t>Contracted Consultants</t>
  </si>
  <si>
    <t>OldEnr Ttl</t>
  </si>
  <si>
    <t>NewEnr Ttl</t>
  </si>
  <si>
    <t>Inf</t>
  </si>
  <si>
    <t>Curriculum Development</t>
  </si>
  <si>
    <t>Ttl 432</t>
  </si>
  <si>
    <t>Ttl 410</t>
  </si>
  <si>
    <t>PY + Enr Chg + Inf</t>
  </si>
  <si>
    <t>PR / Exp?</t>
  </si>
  <si>
    <t>OPERATING BUDGET</t>
  </si>
  <si>
    <t>FEFP - Lee Cty Sch Dist</t>
  </si>
  <si>
    <t>Proceeds from Long term debt</t>
  </si>
  <si>
    <t>Insurance - General Liability</t>
  </si>
  <si>
    <t>Facility Cost</t>
  </si>
  <si>
    <t>Contract Custodial Service</t>
  </si>
  <si>
    <t>Supplies</t>
  </si>
  <si>
    <t>Principal</t>
  </si>
  <si>
    <t>Unemployment Compensation</t>
  </si>
  <si>
    <t>Workers Compensation</t>
  </si>
  <si>
    <t>Group Insurance</t>
  </si>
  <si>
    <t>Administrative Assistants</t>
  </si>
  <si>
    <t>Technology Specialist</t>
  </si>
  <si>
    <t>Career Education Teacher</t>
  </si>
  <si>
    <t>Classroom Teachers</t>
  </si>
  <si>
    <t>Administrator</t>
  </si>
  <si>
    <t>100-4000-6500-130</t>
  </si>
  <si>
    <t>100-4000-5300-120</t>
  </si>
  <si>
    <t>10040005300120</t>
  </si>
  <si>
    <t>Vocational Teachers</t>
  </si>
  <si>
    <t>10040006500130</t>
  </si>
  <si>
    <t>Total Vocational Instruction</t>
  </si>
  <si>
    <t>5% of FEFP</t>
  </si>
  <si>
    <t>Ttl 490</t>
  </si>
  <si>
    <t>The Benevity Community Impact Fund</t>
  </si>
  <si>
    <t>E-Rate</t>
  </si>
  <si>
    <t>Field Trips</t>
  </si>
  <si>
    <t>Salaries</t>
  </si>
  <si>
    <t>2015-2016</t>
  </si>
  <si>
    <t>Total General Administration</t>
  </si>
  <si>
    <t>Total Central Services</t>
  </si>
  <si>
    <t>1XX</t>
  </si>
  <si>
    <t>Capitalized Furniture and Equipment</t>
  </si>
  <si>
    <t>Total Salary Expense</t>
  </si>
  <si>
    <t>Enrollment</t>
  </si>
  <si>
    <t>Ameriprise Financial Services Grant</t>
  </si>
  <si>
    <t>FOR THE PERIOD JULY 1, 2016 THROUGH JUNE 30, 2017</t>
  </si>
  <si>
    <t>Fund Balance, July 1, 2016</t>
  </si>
  <si>
    <t>Fund Balance, June 30, 2017</t>
  </si>
  <si>
    <t>2016-2017</t>
  </si>
  <si>
    <t>Snack Cart</t>
  </si>
  <si>
    <t>Title I</t>
  </si>
  <si>
    <t>Transportation - Fuel</t>
  </si>
  <si>
    <t>Noncapitalized Furniture and Equipment</t>
  </si>
  <si>
    <t>Capitalized Computer Hardware</t>
  </si>
  <si>
    <t>Noncapitalized Computer Hardware</t>
  </si>
  <si>
    <t>Travel / Workshop / Conference</t>
  </si>
  <si>
    <t>Equipment Lease</t>
  </si>
  <si>
    <t>Student Snacks</t>
  </si>
  <si>
    <t>Interest</t>
  </si>
  <si>
    <t>10040005100120</t>
  </si>
  <si>
    <t>10040007300160</t>
  </si>
  <si>
    <t>Math Teacher</t>
  </si>
  <si>
    <t>ESE Teacher</t>
  </si>
  <si>
    <t>Reading Teacher</t>
  </si>
  <si>
    <t>Science Teacher</t>
  </si>
  <si>
    <t>NA</t>
  </si>
  <si>
    <t>Enterprise High School</t>
  </si>
  <si>
    <t>Projected Operating Results and Cash Flows</t>
  </si>
  <si>
    <t>July 1, 2015 - June 30, 2016</t>
  </si>
  <si>
    <t>FEFP - Pinellas Cty Sch Dist</t>
  </si>
  <si>
    <t>FEFP</t>
  </si>
  <si>
    <t>FEFP - Prior Year Adjustment</t>
  </si>
  <si>
    <t>FEFP Restricted to Capital Outlay</t>
  </si>
  <si>
    <t>Florida Teacher Lead Program</t>
  </si>
  <si>
    <t>Misc State</t>
  </si>
  <si>
    <t>Charter School Capital Outlay</t>
  </si>
  <si>
    <t>Miscellaneous</t>
  </si>
  <si>
    <t>Misc Local</t>
  </si>
  <si>
    <t>Instructional Classroom Teachers</t>
  </si>
  <si>
    <t>Instr Personnel</t>
  </si>
  <si>
    <t>Instructional Retirement</t>
  </si>
  <si>
    <t>Instructional Social Security</t>
  </si>
  <si>
    <t>Instructional Group Insurance</t>
  </si>
  <si>
    <t>Instructional Workers Compensation</t>
  </si>
  <si>
    <t>Instructional Unemployment Compensation</t>
  </si>
  <si>
    <t>ESE Classroom Aide</t>
  </si>
  <si>
    <t>ESE Retirement</t>
  </si>
  <si>
    <t>ESE Social Security</t>
  </si>
  <si>
    <t>ESE Group Insurance</t>
  </si>
  <si>
    <t>ESE Unemployment Compensation</t>
  </si>
  <si>
    <t>Admin Personnel</t>
  </si>
  <si>
    <t>School Admin Social Security</t>
  </si>
  <si>
    <t>School Admin Group Insurance</t>
  </si>
  <si>
    <t>School Admin Workers Compensation</t>
  </si>
  <si>
    <t>School Admin Unemployment Compensation</t>
  </si>
  <si>
    <t>Support Personnel</t>
  </si>
  <si>
    <t>District Admin Fee</t>
  </si>
  <si>
    <t>Contract Food</t>
  </si>
  <si>
    <t>Food Svc</t>
  </si>
  <si>
    <t>Contracted Transportation Services</t>
  </si>
  <si>
    <t>Transportation</t>
  </si>
  <si>
    <t>Insurance-D &amp; O</t>
  </si>
  <si>
    <t>Insurance- General Liability</t>
  </si>
  <si>
    <t>Capital Outlay</t>
  </si>
  <si>
    <t>Instructional Furniture and Equipment</t>
  </si>
  <si>
    <t>School Admin Furniture &amp; Equipment</t>
  </si>
  <si>
    <t>Instructional Computer Hardware</t>
  </si>
  <si>
    <t>School Admin Computer Hardware</t>
  </si>
  <si>
    <t>Instructional Classroom Software</t>
  </si>
  <si>
    <t>Rent</t>
  </si>
  <si>
    <t>Other Occupancy</t>
  </si>
  <si>
    <t>Contract Security Service</t>
  </si>
  <si>
    <t>Water Sewer Garbage Collection</t>
  </si>
  <si>
    <t>Instructional Contracted Services</t>
  </si>
  <si>
    <t>Contract Svc</t>
  </si>
  <si>
    <t>ESE Contracted Services</t>
  </si>
  <si>
    <t>Board Contracted Consultants</t>
  </si>
  <si>
    <t>Other Instr</t>
  </si>
  <si>
    <t>Instructional Travel</t>
  </si>
  <si>
    <t>Instructional Copy and Printing</t>
  </si>
  <si>
    <t>Graduation</t>
  </si>
  <si>
    <t>Instructional Textbooks</t>
  </si>
  <si>
    <t>Testing and Assessment</t>
  </si>
  <si>
    <t>Other Admin</t>
  </si>
  <si>
    <t>Sch Admin Travel /Conferences /Workshops</t>
  </si>
  <si>
    <t>School Admin Postage</t>
  </si>
  <si>
    <t>School Admin Advertising</t>
  </si>
  <si>
    <t>School Admin Office Expense</t>
  </si>
  <si>
    <t>2.8% of Net FEFP</t>
  </si>
  <si>
    <t>PY FEFP</t>
  </si>
  <si>
    <t xml:space="preserve">FEFP </t>
  </si>
  <si>
    <t>FEFP Restricted</t>
  </si>
  <si>
    <t>Callier, Benson</t>
  </si>
  <si>
    <t>Folson, Jon</t>
  </si>
  <si>
    <t>Godsey, Panagiota</t>
  </si>
  <si>
    <t>Godsey, Robert</t>
  </si>
  <si>
    <t>Grabowski, Sharon</t>
  </si>
  <si>
    <t>Grammick, Michelle</t>
  </si>
  <si>
    <t>Hamilton, Dawn</t>
  </si>
  <si>
    <t>Hart, Hillary</t>
  </si>
  <si>
    <t xml:space="preserve">10040007300110 </t>
  </si>
  <si>
    <t>Hulbert, Donna</t>
  </si>
  <si>
    <t>Jarquin, Pedro</t>
  </si>
  <si>
    <t>Johnson, David</t>
  </si>
  <si>
    <t>Jones, Aaron</t>
  </si>
  <si>
    <t>Kahn, Gregory</t>
  </si>
  <si>
    <t>Martin, Michael</t>
  </si>
  <si>
    <t>Montalvo, Jacob</t>
  </si>
  <si>
    <t>Mustali, Aurela</t>
  </si>
  <si>
    <t>Settlemire, Brian</t>
  </si>
  <si>
    <t>Singleton, Felicia</t>
  </si>
  <si>
    <t>Sokolowski, Kristina</t>
  </si>
  <si>
    <t>Van Hyning, Donna</t>
  </si>
  <si>
    <t>Velasco, Sandra</t>
  </si>
  <si>
    <t>Graduation Coach</t>
  </si>
  <si>
    <t>Social Studies Teacher</t>
  </si>
  <si>
    <t>ESE Assistant</t>
  </si>
  <si>
    <t>Social Studies/ PE Teacher</t>
  </si>
  <si>
    <t>Administrative Assistant</t>
  </si>
  <si>
    <t>English Teacher</t>
  </si>
  <si>
    <t>Vocational Specialist</t>
  </si>
  <si>
    <t>Director</t>
  </si>
  <si>
    <t>ESOL Teacher/ English Teacher</t>
  </si>
  <si>
    <t>Asst Director/Guidance Counselor</t>
  </si>
  <si>
    <t>Enrollment Specialist</t>
  </si>
  <si>
    <t>DMT (Data Entry)</t>
  </si>
  <si>
    <t>Bilingual Assistant</t>
  </si>
  <si>
    <t>SALARIED OR AVERAGE</t>
  </si>
  <si>
    <t>Amount per Check</t>
  </si>
  <si>
    <t xml:space="preserve">Salaried  </t>
  </si>
  <si>
    <t>Average</t>
  </si>
  <si>
    <t>3% Increase Per Contract</t>
  </si>
  <si>
    <t>Tech Coordinator</t>
  </si>
  <si>
    <t>Per Invoice</t>
  </si>
  <si>
    <t>TBA</t>
  </si>
  <si>
    <t>PY + Enr Chg</t>
  </si>
  <si>
    <t>PY + Enr Chg @ 90%</t>
  </si>
  <si>
    <t>Estimated $20 per student</t>
  </si>
  <si>
    <t>5% of FEFP at 250 FTE</t>
  </si>
  <si>
    <t>Per School</t>
  </si>
  <si>
    <t>Administrator Bonus</t>
  </si>
  <si>
    <t>TBA (PT Front Office)</t>
  </si>
  <si>
    <t>504 Coordinator</t>
  </si>
  <si>
    <t>100-4000-6400-120</t>
  </si>
  <si>
    <t>10040006400120</t>
  </si>
  <si>
    <t>Professional Development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</si>
</sst>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000"/>
    <numFmt numFmtId="167" formatCode="000"/>
    <numFmt numFmtId="168" formatCode="0.0%"/>
    <numFmt numFmtId="169" formatCode="_(* #,##0.00_);_(* \(#,##0.00\);_(* &quot;-&quot;_);_(@_)"/>
  </numFmts>
  <fonts count="2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u val="singleAccounting"/>
      <sz val="8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0" fontId="8" fillId="0" borderId="0" applyFont="0" applyFill="0" applyProtection="0"/>
    <xf numFmtId="0" fontId="9" fillId="0" borderId="0"/>
    <xf numFmtId="0" fontId="9" fillId="0" borderId="0"/>
    <xf numFmtId="9" fontId="8" fillId="0" borderId="0" applyFont="0" applyFill="0" applyProtection="0"/>
    <xf numFmtId="44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10" fillId="0" borderId="0" xfId="2" applyFont="1"/>
    <xf numFmtId="0" fontId="10" fillId="0" borderId="0" xfId="2" applyFont="1" applyAlignment="1"/>
    <xf numFmtId="16" fontId="11" fillId="0" borderId="0" xfId="2" applyNumberFormat="1" applyFont="1" applyAlignment="1">
      <alignment horizontal="center"/>
    </xf>
    <xf numFmtId="0" fontId="15" fillId="0" borderId="0" xfId="2" applyFont="1"/>
    <xf numFmtId="0" fontId="11" fillId="0" borderId="2" xfId="2" applyFont="1" applyBorder="1"/>
    <xf numFmtId="0" fontId="11" fillId="0" borderId="2" xfId="2" applyFont="1" applyBorder="1" applyAlignment="1">
      <alignment horizontal="center"/>
    </xf>
    <xf numFmtId="0" fontId="10" fillId="0" borderId="0" xfId="2" applyFont="1" applyBorder="1"/>
    <xf numFmtId="0" fontId="15" fillId="0" borderId="0" xfId="2" applyFont="1" applyBorder="1"/>
    <xf numFmtId="0" fontId="14" fillId="0" borderId="0" xfId="2" applyFont="1" applyAlignment="1">
      <alignment horizontal="left"/>
    </xf>
    <xf numFmtId="41" fontId="10" fillId="0" borderId="0" xfId="2" applyNumberFormat="1" applyFont="1"/>
    <xf numFmtId="0" fontId="14" fillId="0" borderId="0" xfId="2" applyFont="1"/>
    <xf numFmtId="0" fontId="11" fillId="0" borderId="0" xfId="2" applyFont="1"/>
    <xf numFmtId="0" fontId="15" fillId="0" borderId="0" xfId="2" applyFont="1" applyAlignment="1"/>
    <xf numFmtId="0" fontId="13" fillId="0" borderId="0" xfId="2" applyFont="1"/>
    <xf numFmtId="0" fontId="15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2" borderId="0" xfId="2" applyFont="1" applyFill="1" applyAlignment="1">
      <alignment horizontal="center"/>
    </xf>
    <xf numFmtId="41" fontId="11" fillId="0" borderId="0" xfId="1" applyNumberFormat="1" applyFont="1"/>
    <xf numFmtId="41" fontId="11" fillId="0" borderId="0" xfId="1" applyNumberFormat="1" applyFont="1" applyFill="1"/>
    <xf numFmtId="41" fontId="10" fillId="0" borderId="0" xfId="1" applyNumberFormat="1" applyFont="1" applyFill="1"/>
    <xf numFmtId="41" fontId="10" fillId="0" borderId="0" xfId="1" applyNumberFormat="1" applyFont="1"/>
    <xf numFmtId="41" fontId="10" fillId="0" borderId="3" xfId="1" applyNumberFormat="1" applyFont="1" applyBorder="1"/>
    <xf numFmtId="41" fontId="10" fillId="0" borderId="0" xfId="1" applyNumberFormat="1" applyFont="1" applyBorder="1"/>
    <xf numFmtId="0" fontId="17" fillId="0" borderId="0" xfId="0" applyFont="1"/>
    <xf numFmtId="38" fontId="17" fillId="0" borderId="0" xfId="0" applyNumberFormat="1" applyFont="1"/>
    <xf numFmtId="38" fontId="17" fillId="0" borderId="0" xfId="1" applyNumberFormat="1" applyFont="1" applyFill="1"/>
    <xf numFmtId="38" fontId="17" fillId="0" borderId="0" xfId="1" applyNumberFormat="1" applyFont="1"/>
    <xf numFmtId="164" fontId="11" fillId="0" borderId="0" xfId="0" applyNumberFormat="1" applyFont="1" applyAlignment="1" applyProtection="1">
      <alignment horizontal="center"/>
      <protection locked="0"/>
    </xf>
    <xf numFmtId="40" fontId="11" fillId="0" borderId="0" xfId="1" applyFont="1" applyProtection="1">
      <protection locked="0"/>
    </xf>
    <xf numFmtId="0" fontId="17" fillId="0" borderId="0" xfId="0" applyFont="1" applyAlignment="1">
      <alignment horizontal="center"/>
    </xf>
    <xf numFmtId="38" fontId="16" fillId="0" borderId="0" xfId="1" applyNumberFormat="1" applyFont="1" applyFill="1"/>
    <xf numFmtId="38" fontId="16" fillId="0" borderId="3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41" fontId="18" fillId="0" borderId="0" xfId="0" applyNumberFormat="1" applyFont="1"/>
    <xf numFmtId="0" fontId="16" fillId="0" borderId="0" xfId="0" applyFont="1" applyAlignment="1">
      <alignment horizontal="center"/>
    </xf>
    <xf numFmtId="0" fontId="10" fillId="0" borderId="5" xfId="3" applyFont="1" applyFill="1" applyBorder="1"/>
    <xf numFmtId="0" fontId="10" fillId="0" borderId="0" xfId="3" applyFont="1" applyFill="1" applyBorder="1"/>
    <xf numFmtId="0" fontId="16" fillId="0" borderId="6" xfId="0" applyFont="1" applyFill="1" applyBorder="1"/>
    <xf numFmtId="0" fontId="16" fillId="0" borderId="2" xfId="0" applyFont="1" applyFill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Fill="1"/>
    <xf numFmtId="0" fontId="10" fillId="0" borderId="0" xfId="0" applyFont="1" applyFill="1"/>
    <xf numFmtId="0" fontId="17" fillId="0" borderId="7" xfId="0" applyFont="1" applyBorder="1" applyAlignment="1">
      <alignment horizontal="center"/>
    </xf>
    <xf numFmtId="1" fontId="16" fillId="0" borderId="6" xfId="0" applyNumberFormat="1" applyFont="1" applyFill="1" applyBorder="1" applyAlignment="1">
      <alignment horizontal="left"/>
    </xf>
    <xf numFmtId="0" fontId="18" fillId="0" borderId="0" xfId="0" applyFont="1"/>
    <xf numFmtId="0" fontId="17" fillId="0" borderId="0" xfId="2" applyFont="1"/>
    <xf numFmtId="41" fontId="11" fillId="0" borderId="4" xfId="1" applyNumberFormat="1" applyFont="1" applyBorder="1"/>
    <xf numFmtId="41" fontId="19" fillId="0" borderId="0" xfId="0" applyNumberFormat="1" applyFont="1"/>
    <xf numFmtId="41" fontId="19" fillId="0" borderId="0" xfId="1" applyNumberFormat="1" applyFont="1"/>
    <xf numFmtId="0" fontId="16" fillId="0" borderId="0" xfId="0" applyFont="1" applyFill="1" applyBorder="1"/>
    <xf numFmtId="0" fontId="12" fillId="0" borderId="0" xfId="0" applyFont="1" applyFill="1"/>
    <xf numFmtId="41" fontId="19" fillId="0" borderId="0" xfId="1" applyNumberFormat="1" applyFont="1" applyAlignment="1">
      <alignment horizontal="center"/>
    </xf>
    <xf numFmtId="41" fontId="17" fillId="0" borderId="0" xfId="0" applyNumberFormat="1" applyFont="1"/>
    <xf numFmtId="0" fontId="11" fillId="0" borderId="0" xfId="2" applyFont="1" applyAlignment="1"/>
    <xf numFmtId="16" fontId="11" fillId="0" borderId="0" xfId="2" applyNumberFormat="1" applyFont="1" applyAlignment="1"/>
    <xf numFmtId="0" fontId="16" fillId="0" borderId="6" xfId="0" quotePrefix="1" applyFont="1" applyFill="1" applyBorder="1"/>
    <xf numFmtId="0" fontId="0" fillId="0" borderId="0" xfId="0" applyFill="1" applyBorder="1"/>
    <xf numFmtId="38" fontId="16" fillId="0" borderId="0" xfId="0" applyNumberFormat="1" applyFont="1" applyFill="1" applyBorder="1" applyAlignment="1">
      <alignment horizontal="center"/>
    </xf>
    <xf numFmtId="0" fontId="17" fillId="0" borderId="8" xfId="0" applyFont="1" applyFill="1" applyBorder="1"/>
    <xf numFmtId="0" fontId="16" fillId="0" borderId="8" xfId="0" applyFont="1" applyFill="1" applyBorder="1"/>
    <xf numFmtId="1" fontId="16" fillId="0" borderId="6" xfId="0" quotePrefix="1" applyNumberFormat="1" applyFont="1" applyFill="1" applyBorder="1" applyAlignment="1">
      <alignment horizontal="left"/>
    </xf>
    <xf numFmtId="38" fontId="17" fillId="0" borderId="0" xfId="0" applyNumberFormat="1" applyFont="1" applyBorder="1"/>
    <xf numFmtId="0" fontId="11" fillId="0" borderId="0" xfId="0" applyFont="1" applyAlignment="1"/>
    <xf numFmtId="41" fontId="11" fillId="0" borderId="0" xfId="1" applyNumberFormat="1" applyFont="1" applyBorder="1"/>
    <xf numFmtId="41" fontId="11" fillId="0" borderId="2" xfId="1" applyNumberFormat="1" applyFont="1" applyBorder="1"/>
    <xf numFmtId="166" fontId="17" fillId="0" borderId="0" xfId="0" applyNumberFormat="1" applyFont="1"/>
    <xf numFmtId="167" fontId="17" fillId="0" borderId="0" xfId="0" applyNumberFormat="1" applyFont="1"/>
    <xf numFmtId="41" fontId="11" fillId="0" borderId="3" xfId="1" applyNumberFormat="1" applyFont="1" applyBorder="1"/>
    <xf numFmtId="0" fontId="17" fillId="0" borderId="0" xfId="0" applyFont="1" applyAlignment="1">
      <alignment wrapText="1"/>
    </xf>
    <xf numFmtId="41" fontId="18" fillId="0" borderId="0" xfId="1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 indent="1"/>
    </xf>
    <xf numFmtId="0" fontId="11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1" fillId="0" borderId="0" xfId="2" applyFont="1" applyAlignment="1">
      <alignment horizontal="center"/>
    </xf>
    <xf numFmtId="49" fontId="20" fillId="0" borderId="0" xfId="9" applyNumberFormat="1" applyFont="1" applyAlignment="1">
      <alignment horizontal="left"/>
    </xf>
    <xf numFmtId="49" fontId="17" fillId="0" borderId="0" xfId="0" applyNumberFormat="1" applyFont="1"/>
    <xf numFmtId="41" fontId="22" fillId="0" borderId="0" xfId="1" applyNumberFormat="1" applyFont="1" applyFill="1" applyAlignment="1">
      <alignment horizontal="center"/>
    </xf>
    <xf numFmtId="0" fontId="10" fillId="3" borderId="0" xfId="2" applyFont="1" applyFill="1" applyAlignment="1">
      <alignment horizontal="center"/>
    </xf>
    <xf numFmtId="41" fontId="17" fillId="0" borderId="0" xfId="0" applyNumberFormat="1" applyFont="1" applyFill="1"/>
    <xf numFmtId="0" fontId="10" fillId="0" borderId="0" xfId="2" applyFont="1" applyFill="1" applyAlignment="1">
      <alignment horizontal="center"/>
    </xf>
    <xf numFmtId="0" fontId="10" fillId="0" borderId="0" xfId="2" applyFont="1" applyFill="1"/>
    <xf numFmtId="41" fontId="18" fillId="0" borderId="0" xfId="1" applyNumberFormat="1" applyFont="1" applyFill="1" applyAlignment="1">
      <alignment horizontal="center"/>
    </xf>
    <xf numFmtId="49" fontId="20" fillId="0" borderId="0" xfId="9" applyNumberFormat="1" applyFont="1" applyFill="1" applyAlignment="1">
      <alignment horizontal="left"/>
    </xf>
    <xf numFmtId="0" fontId="20" fillId="0" borderId="0" xfId="9" applyFont="1" applyFill="1"/>
    <xf numFmtId="41" fontId="19" fillId="0" borderId="0" xfId="0" applyNumberFormat="1" applyFont="1" applyFill="1"/>
    <xf numFmtId="41" fontId="19" fillId="0" borderId="0" xfId="1" applyNumberFormat="1" applyFont="1" applyFill="1"/>
    <xf numFmtId="164" fontId="11" fillId="0" borderId="2" xfId="0" applyNumberFormat="1" applyFont="1" applyBorder="1" applyAlignment="1" applyProtection="1">
      <alignment horizontal="center" wrapText="1"/>
      <protection locked="0"/>
    </xf>
    <xf numFmtId="0" fontId="10" fillId="0" borderId="10" xfId="3" applyFont="1" applyFill="1" applyBorder="1"/>
    <xf numFmtId="0" fontId="11" fillId="0" borderId="0" xfId="2" applyFont="1" applyAlignment="1" applyProtection="1">
      <protection locked="0"/>
    </xf>
    <xf numFmtId="0" fontId="20" fillId="0" borderId="0" xfId="16" applyFont="1"/>
    <xf numFmtId="41" fontId="20" fillId="0" borderId="0" xfId="16" applyNumberFormat="1" applyFont="1"/>
    <xf numFmtId="0" fontId="20" fillId="0" borderId="0" xfId="16" applyFont="1" applyAlignment="1">
      <alignment horizontal="center"/>
    </xf>
    <xf numFmtId="41" fontId="26" fillId="0" borderId="0" xfId="16" applyNumberFormat="1" applyFont="1" applyAlignment="1">
      <alignment horizontal="center"/>
    </xf>
    <xf numFmtId="49" fontId="20" fillId="0" borderId="0" xfId="16" applyNumberFormat="1" applyFont="1" applyAlignment="1">
      <alignment horizontal="left"/>
    </xf>
    <xf numFmtId="49" fontId="23" fillId="0" borderId="0" xfId="16" applyNumberFormat="1" applyFont="1" applyAlignment="1">
      <alignment horizontal="left"/>
    </xf>
    <xf numFmtId="0" fontId="23" fillId="0" borderId="0" xfId="16" applyFont="1"/>
    <xf numFmtId="41" fontId="20" fillId="0" borderId="0" xfId="16" applyNumberFormat="1" applyFont="1" applyFill="1"/>
    <xf numFmtId="0" fontId="20" fillId="0" borderId="0" xfId="16" applyNumberFormat="1" applyFont="1" applyFill="1" applyAlignment="1">
      <alignment horizontal="left"/>
    </xf>
    <xf numFmtId="49" fontId="20" fillId="0" borderId="0" xfId="16" applyNumberFormat="1" applyFont="1" applyFill="1" applyAlignment="1">
      <alignment horizontal="left"/>
    </xf>
    <xf numFmtId="0" fontId="20" fillId="0" borderId="0" xfId="16" applyFont="1" applyFill="1"/>
    <xf numFmtId="0" fontId="20" fillId="0" borderId="0" xfId="16" applyNumberFormat="1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2" fillId="0" borderId="0" xfId="2" applyFont="1"/>
    <xf numFmtId="0" fontId="22" fillId="0" borderId="0" xfId="2" applyFont="1" applyBorder="1"/>
    <xf numFmtId="0" fontId="27" fillId="0" borderId="0" xfId="0" applyFont="1"/>
    <xf numFmtId="2" fontId="27" fillId="0" borderId="0" xfId="0" applyNumberFormat="1" applyFont="1"/>
    <xf numFmtId="0" fontId="20" fillId="0" borderId="0" xfId="16" applyFont="1" applyAlignment="1">
      <alignment horizontal="right" vertical="top"/>
    </xf>
    <xf numFmtId="10" fontId="20" fillId="0" borderId="0" xfId="4" applyNumberFormat="1" applyFont="1"/>
    <xf numFmtId="41" fontId="11" fillId="0" borderId="2" xfId="1" applyNumberFormat="1" applyFont="1" applyFill="1" applyBorder="1"/>
    <xf numFmtId="0" fontId="20" fillId="0" borderId="0" xfId="17" applyFont="1"/>
    <xf numFmtId="0" fontId="24" fillId="0" borderId="0" xfId="17" applyFont="1"/>
    <xf numFmtId="41" fontId="20" fillId="0" borderId="0" xfId="17" applyNumberFormat="1" applyFont="1"/>
    <xf numFmtId="0" fontId="20" fillId="0" borderId="0" xfId="17" applyFont="1" applyAlignment="1">
      <alignment horizontal="center"/>
    </xf>
    <xf numFmtId="41" fontId="26" fillId="0" borderId="0" xfId="17" applyNumberFormat="1" applyFont="1" applyAlignment="1">
      <alignment horizontal="center"/>
    </xf>
    <xf numFmtId="49" fontId="20" fillId="0" borderId="0" xfId="17" applyNumberFormat="1" applyFont="1" applyAlignment="1">
      <alignment horizontal="left"/>
    </xf>
    <xf numFmtId="49" fontId="23" fillId="0" borderId="0" xfId="17" applyNumberFormat="1" applyFont="1" applyAlignment="1">
      <alignment horizontal="left"/>
    </xf>
    <xf numFmtId="0" fontId="23" fillId="0" borderId="0" xfId="17" applyFont="1"/>
    <xf numFmtId="41" fontId="20" fillId="0" borderId="0" xfId="17" applyNumberFormat="1" applyFont="1" applyFill="1"/>
    <xf numFmtId="0" fontId="11" fillId="0" borderId="0" xfId="2" applyFont="1" applyFill="1" applyBorder="1" applyAlignment="1">
      <alignment horizontal="center"/>
    </xf>
    <xf numFmtId="41" fontId="19" fillId="0" borderId="0" xfId="1" applyNumberFormat="1" applyFont="1" applyFill="1" applyAlignment="1">
      <alignment horizontal="center"/>
    </xf>
    <xf numFmtId="41" fontId="18" fillId="0" borderId="0" xfId="0" applyNumberFormat="1" applyFont="1" applyFill="1"/>
    <xf numFmtId="169" fontId="18" fillId="0" borderId="0" xfId="0" applyNumberFormat="1" applyFont="1" applyFill="1"/>
    <xf numFmtId="43" fontId="18" fillId="0" borderId="0" xfId="0" applyNumberFormat="1" applyFont="1" applyFill="1"/>
    <xf numFmtId="0" fontId="28" fillId="0" borderId="0" xfId="0" applyFont="1"/>
    <xf numFmtId="0" fontId="21" fillId="0" borderId="0" xfId="0" applyFont="1" applyFill="1"/>
    <xf numFmtId="1" fontId="28" fillId="0" borderId="0" xfId="0" applyNumberFormat="1" applyFont="1" applyFill="1" applyAlignment="1">
      <alignment horizontal="left"/>
    </xf>
    <xf numFmtId="0" fontId="28" fillId="0" borderId="0" xfId="0" applyFont="1" applyFill="1"/>
    <xf numFmtId="49" fontId="28" fillId="0" borderId="0" xfId="0" applyNumberFormat="1" applyFont="1"/>
    <xf numFmtId="1" fontId="28" fillId="0" borderId="0" xfId="0" applyNumberFormat="1" applyFont="1" applyAlignment="1">
      <alignment horizontal="left"/>
    </xf>
    <xf numFmtId="14" fontId="27" fillId="0" borderId="0" xfId="0" applyNumberFormat="1" applyFont="1"/>
    <xf numFmtId="0" fontId="21" fillId="0" borderId="0" xfId="0" applyFont="1"/>
    <xf numFmtId="43" fontId="21" fillId="0" borderId="0" xfId="7" applyFont="1"/>
    <xf numFmtId="38" fontId="17" fillId="0" borderId="0" xfId="1" applyNumberFormat="1" applyFont="1" applyFill="1" applyAlignment="1">
      <alignment horizontal="center" vertical="center"/>
    </xf>
    <xf numFmtId="0" fontId="20" fillId="0" borderId="0" xfId="17" applyFont="1" applyAlignment="1">
      <alignment horizontal="left"/>
    </xf>
    <xf numFmtId="10" fontId="20" fillId="0" borderId="0" xfId="17" applyNumberFormat="1" applyFont="1"/>
    <xf numFmtId="41" fontId="17" fillId="0" borderId="0" xfId="0" applyNumberFormat="1" applyFont="1" applyAlignment="1">
      <alignment horizontal="center"/>
    </xf>
    <xf numFmtId="41" fontId="17" fillId="0" borderId="0" xfId="4" applyNumberFormat="1" applyFont="1" applyFill="1"/>
    <xf numFmtId="41" fontId="17" fillId="0" borderId="0" xfId="4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68" fontId="17" fillId="0" borderId="0" xfId="4" applyNumberFormat="1" applyFont="1" applyFill="1" applyAlignment="1">
      <alignment horizontal="left" indent="1"/>
    </xf>
    <xf numFmtId="10" fontId="17" fillId="0" borderId="0" xfId="4" applyNumberFormat="1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164" fontId="11" fillId="0" borderId="0" xfId="0" applyNumberFormat="1" applyFont="1" applyFill="1" applyAlignment="1" applyProtection="1">
      <alignment horizontal="center"/>
      <protection locked="0"/>
    </xf>
    <xf numFmtId="164" fontId="11" fillId="0" borderId="0" xfId="0" applyNumberFormat="1" applyFont="1" applyFill="1" applyAlignment="1" applyProtection="1">
      <alignment horizontal="left"/>
      <protection locked="0"/>
    </xf>
    <xf numFmtId="40" fontId="11" fillId="0" borderId="0" xfId="1" applyFont="1" applyFill="1" applyProtection="1">
      <protection locked="0"/>
    </xf>
    <xf numFmtId="164" fontId="11" fillId="0" borderId="0" xfId="0" applyNumberFormat="1" applyFont="1" applyFill="1" applyAlignment="1" applyProtection="1">
      <alignment horizontal="center" wrapText="1"/>
      <protection locked="0"/>
    </xf>
    <xf numFmtId="38" fontId="10" fillId="0" borderId="0" xfId="1" applyNumberFormat="1" applyFont="1" applyFill="1" applyProtection="1"/>
    <xf numFmtId="40" fontId="10" fillId="0" borderId="0" xfId="1" applyNumberFormat="1" applyFont="1" applyFill="1" applyProtection="1">
      <protection locked="0"/>
    </xf>
    <xf numFmtId="38" fontId="10" fillId="0" borderId="0" xfId="1" applyNumberFormat="1" applyFont="1" applyFill="1" applyProtection="1">
      <protection locked="0"/>
    </xf>
    <xf numFmtId="38" fontId="16" fillId="0" borderId="2" xfId="1" applyNumberFormat="1" applyFont="1" applyFill="1" applyBorder="1" applyProtection="1"/>
    <xf numFmtId="38" fontId="16" fillId="0" borderId="0" xfId="1" applyNumberFormat="1" applyFont="1" applyFill="1" applyProtection="1"/>
    <xf numFmtId="38" fontId="17" fillId="0" borderId="0" xfId="1" applyNumberFormat="1" applyFont="1" applyFill="1" applyProtection="1"/>
    <xf numFmtId="38" fontId="16" fillId="0" borderId="3" xfId="0" applyNumberFormat="1" applyFont="1" applyFill="1" applyBorder="1"/>
    <xf numFmtId="38" fontId="16" fillId="0" borderId="3" xfId="0" applyNumberFormat="1" applyFont="1" applyFill="1" applyBorder="1" applyProtection="1"/>
    <xf numFmtId="168" fontId="17" fillId="0" borderId="0" xfId="4" applyNumberFormat="1" applyFont="1" applyFill="1"/>
    <xf numFmtId="0" fontId="16" fillId="0" borderId="0" xfId="0" applyFont="1" applyFill="1" applyAlignment="1">
      <alignment horizontal="center"/>
    </xf>
    <xf numFmtId="10" fontId="17" fillId="0" borderId="0" xfId="4" applyNumberFormat="1" applyFont="1" applyFill="1"/>
    <xf numFmtId="0" fontId="16" fillId="0" borderId="1" xfId="0" applyFont="1" applyFill="1" applyBorder="1" applyAlignment="1">
      <alignment horizontal="center" wrapText="1"/>
    </xf>
    <xf numFmtId="41" fontId="18" fillId="0" borderId="0" xfId="1" applyNumberFormat="1" applyFont="1" applyFill="1"/>
    <xf numFmtId="41" fontId="10" fillId="0" borderId="0" xfId="2" applyNumberFormat="1" applyFont="1" applyFill="1"/>
    <xf numFmtId="38" fontId="10" fillId="0" borderId="0" xfId="2" applyNumberFormat="1" applyFont="1" applyFill="1"/>
    <xf numFmtId="2" fontId="27" fillId="0" borderId="0" xfId="0" applyNumberFormat="1" applyFont="1" applyFill="1"/>
    <xf numFmtId="43" fontId="21" fillId="0" borderId="0" xfId="7" applyFont="1" applyFill="1"/>
    <xf numFmtId="0" fontId="27" fillId="0" borderId="0" xfId="0" applyFont="1" applyFill="1"/>
    <xf numFmtId="38" fontId="17" fillId="0" borderId="0" xfId="0" applyNumberFormat="1" applyFont="1" applyFill="1"/>
    <xf numFmtId="168" fontId="17" fillId="0" borderId="0" xfId="4" applyNumberFormat="1" applyFont="1" applyFill="1" applyAlignment="1">
      <alignment horizontal="center" vertical="center"/>
    </xf>
    <xf numFmtId="10" fontId="17" fillId="0" borderId="0" xfId="4" applyNumberFormat="1" applyFont="1" applyFill="1" applyAlignment="1">
      <alignment horizontal="center"/>
    </xf>
    <xf numFmtId="40" fontId="17" fillId="0" borderId="0" xfId="1" applyFont="1" applyFill="1"/>
    <xf numFmtId="0" fontId="16" fillId="0" borderId="7" xfId="0" applyFont="1" applyFill="1" applyBorder="1" applyAlignment="1">
      <alignment horizontal="center" wrapText="1"/>
    </xf>
    <xf numFmtId="0" fontId="11" fillId="0" borderId="0" xfId="2" applyFont="1" applyAlignment="1">
      <alignment horizontal="center" wrapText="1"/>
    </xf>
    <xf numFmtId="10" fontId="17" fillId="0" borderId="0" xfId="4" applyNumberFormat="1" applyFont="1" applyFill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</cellXfs>
  <cellStyles count="18">
    <cellStyle name="Comma" xfId="1" builtinId="3"/>
    <cellStyle name="Comma 2" xfId="7"/>
    <cellStyle name="Currency 2" xfId="5"/>
    <cellStyle name="Normal" xfId="0" builtinId="0"/>
    <cellStyle name="Normal 2" xfId="6"/>
    <cellStyle name="Normal 3" xfId="8"/>
    <cellStyle name="Normal 4" xfId="9"/>
    <cellStyle name="Normal 4 2" xfId="11"/>
    <cellStyle name="Normal 4 2 2" xfId="13"/>
    <cellStyle name="Normal 4 2 3" xfId="15"/>
    <cellStyle name="Normal 5" xfId="10"/>
    <cellStyle name="Normal 5 2" xfId="12"/>
    <cellStyle name="Normal 5 3" xfId="14"/>
    <cellStyle name="Normal 6" xfId="16"/>
    <cellStyle name="Normal 7" xfId="17"/>
    <cellStyle name="Normal_Miami Budget Update - Jan 05 - Complete PR" xfId="2"/>
    <cellStyle name="Normal_Waterstone PAYROLL 05-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EXCEL\FTE97E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01\c\DOCUME~1\KEITHH~1.SPE\LOCALS~1\Temp\PBEDL%20Aug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\c%20on%20sfs2\DOCUME~1\CHRIS-~1.BHC\LOCALS~1\Temp\C.Lotus.Notes.Data\AJC\S%20L%20Jones%20%20Operat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ut\Feb%201999\PACS_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p FB"/>
      <sheetName val="Narrative"/>
      <sheetName val="Cash Flow Startup"/>
      <sheetName val="Cash Flow 1"/>
      <sheetName val="Cash Flow 2"/>
      <sheetName val="Cash Flow 3"/>
      <sheetName val="Cash Flow 4"/>
      <sheetName val="Cash Flow 5"/>
      <sheetName val="Staffing"/>
      <sheetName val="Enroll"/>
      <sheetName val="Misc"/>
      <sheetName val="Food Svc"/>
      <sheetName val="Compute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EDL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Budget"/>
      <sheetName val="Data"/>
      <sheetName val="Personnel"/>
      <sheetName val="FD Budget 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"/>
      <sheetName val="BS"/>
      <sheetName val="IS"/>
      <sheetName val="Forecast"/>
      <sheetName val="Revenue"/>
      <sheetName val="Expense"/>
      <sheetName val="Graph"/>
      <sheetName val="Enrollment"/>
      <sheetName val="Forecast WS"/>
      <sheetName val="Acctg IS"/>
      <sheetName val="Acctg BS"/>
      <sheetName val="Budget"/>
      <sheetName val="TB"/>
      <sheetName val="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6">
          <cell r="A6" t="str">
            <v>Revenues</v>
          </cell>
        </row>
        <row r="8">
          <cell r="A8" t="str">
            <v>Number of Students B.O.M.</v>
          </cell>
          <cell r="B8">
            <v>819</v>
          </cell>
          <cell r="C8">
            <v>819</v>
          </cell>
          <cell r="D8">
            <v>819</v>
          </cell>
          <cell r="E8">
            <v>819</v>
          </cell>
          <cell r="F8">
            <v>819</v>
          </cell>
          <cell r="G8">
            <v>819</v>
          </cell>
          <cell r="H8">
            <v>819</v>
          </cell>
          <cell r="I8">
            <v>819</v>
          </cell>
          <cell r="J8">
            <v>819</v>
          </cell>
          <cell r="K8">
            <v>819</v>
          </cell>
          <cell r="L8">
            <v>819</v>
          </cell>
          <cell r="M8">
            <v>819</v>
          </cell>
          <cell r="N8">
            <v>819</v>
          </cell>
        </row>
        <row r="9">
          <cell r="A9" t="str">
            <v>Local Cap. / Student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State Cap. / Student</v>
          </cell>
          <cell r="B10">
            <v>332041</v>
          </cell>
          <cell r="C10">
            <v>332041</v>
          </cell>
          <cell r="D10">
            <v>233908</v>
          </cell>
          <cell r="E10">
            <v>263536</v>
          </cell>
          <cell r="F10">
            <v>290381.5</v>
          </cell>
          <cell r="G10">
            <v>294217</v>
          </cell>
          <cell r="H10">
            <v>289742</v>
          </cell>
          <cell r="I10">
            <v>289742</v>
          </cell>
          <cell r="J10">
            <v>289742</v>
          </cell>
          <cell r="K10">
            <v>289742</v>
          </cell>
          <cell r="L10">
            <v>289742</v>
          </cell>
          <cell r="M10">
            <v>289742</v>
          </cell>
          <cell r="N10">
            <v>3484576.5</v>
          </cell>
          <cell r="P10">
            <v>2035866.5</v>
          </cell>
          <cell r="Q10">
            <v>1448710</v>
          </cell>
          <cell r="R10">
            <v>3484576.5</v>
          </cell>
        </row>
        <row r="11">
          <cell r="A11" t="str">
            <v>State Start-Up Grant</v>
          </cell>
          <cell r="B11">
            <v>9583</v>
          </cell>
          <cell r="C11">
            <v>9583</v>
          </cell>
          <cell r="D11">
            <v>-19166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Fed Cap. / Student</v>
          </cell>
          <cell r="B12">
            <v>11887</v>
          </cell>
          <cell r="C12">
            <v>11887</v>
          </cell>
          <cell r="D12">
            <v>11887</v>
          </cell>
          <cell r="E12">
            <v>11882</v>
          </cell>
          <cell r="F12">
            <v>11053.16</v>
          </cell>
          <cell r="G12">
            <v>11049.16</v>
          </cell>
          <cell r="H12">
            <v>11054</v>
          </cell>
          <cell r="I12">
            <v>11054</v>
          </cell>
          <cell r="J12">
            <v>11054</v>
          </cell>
          <cell r="K12">
            <v>11054</v>
          </cell>
          <cell r="L12">
            <v>11054</v>
          </cell>
          <cell r="M12">
            <v>11054</v>
          </cell>
          <cell r="N12">
            <v>135969.32</v>
          </cell>
          <cell r="P12">
            <v>80699.320000000007</v>
          </cell>
          <cell r="Q12">
            <v>55270</v>
          </cell>
          <cell r="R12">
            <v>135969.32</v>
          </cell>
        </row>
        <row r="13">
          <cell r="A13" t="str">
            <v>Private Grants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5000</v>
          </cell>
          <cell r="L13">
            <v>0</v>
          </cell>
          <cell r="M13">
            <v>25000</v>
          </cell>
          <cell r="N13">
            <v>30000</v>
          </cell>
          <cell r="P13">
            <v>0</v>
          </cell>
          <cell r="Q13">
            <v>30000</v>
          </cell>
          <cell r="R13">
            <v>30000</v>
          </cell>
        </row>
        <row r="14">
          <cell r="A14" t="str">
            <v xml:space="preserve">State Spec Ed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Fed Spec Ed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Total Earned Capitation</v>
          </cell>
          <cell r="B16">
            <v>353511</v>
          </cell>
          <cell r="C16">
            <v>353511</v>
          </cell>
          <cell r="D16">
            <v>226629</v>
          </cell>
          <cell r="E16">
            <v>275418</v>
          </cell>
          <cell r="F16">
            <v>301434.65999999997</v>
          </cell>
          <cell r="G16">
            <v>305266.15999999997</v>
          </cell>
          <cell r="H16">
            <v>300796</v>
          </cell>
          <cell r="I16">
            <v>300796</v>
          </cell>
          <cell r="J16">
            <v>300796</v>
          </cell>
          <cell r="K16">
            <v>305796</v>
          </cell>
          <cell r="L16">
            <v>300796</v>
          </cell>
          <cell r="M16">
            <v>325796</v>
          </cell>
          <cell r="N16">
            <v>3650545.8200000003</v>
          </cell>
          <cell r="P16">
            <v>2116565.8199999998</v>
          </cell>
          <cell r="Q16">
            <v>1533980</v>
          </cell>
          <cell r="R16">
            <v>3650545.82</v>
          </cell>
        </row>
        <row r="19">
          <cell r="A19" t="str">
            <v>Fed Free Lunch &amp; Breakfast</v>
          </cell>
          <cell r="B19">
            <v>0</v>
          </cell>
          <cell r="C19">
            <v>7200</v>
          </cell>
          <cell r="D19">
            <v>15000</v>
          </cell>
          <cell r="E19">
            <v>52800</v>
          </cell>
          <cell r="F19">
            <v>20228</v>
          </cell>
          <cell r="G19">
            <v>30000</v>
          </cell>
          <cell r="H19">
            <v>30000</v>
          </cell>
          <cell r="I19">
            <v>20000</v>
          </cell>
          <cell r="J19">
            <v>20000</v>
          </cell>
          <cell r="K19">
            <v>20000</v>
          </cell>
          <cell r="L19">
            <v>20000</v>
          </cell>
          <cell r="M19">
            <v>20000</v>
          </cell>
          <cell r="N19">
            <v>255228</v>
          </cell>
          <cell r="P19">
            <v>155228</v>
          </cell>
          <cell r="Q19">
            <v>100000</v>
          </cell>
          <cell r="R19">
            <v>255228</v>
          </cell>
        </row>
        <row r="20">
          <cell r="A20" t="str">
            <v>Fed Reduced Lunch &amp; Bkfst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10433.6505</v>
          </cell>
          <cell r="J20">
            <v>12081.069</v>
          </cell>
          <cell r="K20">
            <v>8786.232</v>
          </cell>
          <cell r="L20">
            <v>10982.79</v>
          </cell>
          <cell r="M20">
            <v>9884.5109999999986</v>
          </cell>
          <cell r="N20">
            <v>52168.252500000002</v>
          </cell>
          <cell r="P20">
            <v>0</v>
          </cell>
          <cell r="Q20">
            <v>52168.252500000002</v>
          </cell>
          <cell r="R20">
            <v>52168.252500000002</v>
          </cell>
        </row>
        <row r="21">
          <cell r="A21" t="str">
            <v>Fed Paying Student Offset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591.3180000000001</v>
          </cell>
          <cell r="J21">
            <v>684.68400000000008</v>
          </cell>
          <cell r="K21">
            <v>497.95200000000006</v>
          </cell>
          <cell r="L21">
            <v>622.44000000000005</v>
          </cell>
          <cell r="M21">
            <v>560.19600000000014</v>
          </cell>
          <cell r="N21">
            <v>2956.5900000000006</v>
          </cell>
          <cell r="P21">
            <v>0</v>
          </cell>
          <cell r="Q21">
            <v>2956.59</v>
          </cell>
          <cell r="R21">
            <v>2956.59</v>
          </cell>
        </row>
        <row r="22">
          <cell r="A22" t="str">
            <v>Student Revs Reduced</v>
          </cell>
          <cell r="B22">
            <v>0</v>
          </cell>
          <cell r="C22">
            <v>375</v>
          </cell>
          <cell r="D22">
            <v>1000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3104.4195</v>
          </cell>
          <cell r="J22">
            <v>3594.5910000000003</v>
          </cell>
          <cell r="K22">
            <v>2614.248</v>
          </cell>
          <cell r="L22">
            <v>3267.81</v>
          </cell>
          <cell r="M22">
            <v>2941.029</v>
          </cell>
          <cell r="N22">
            <v>16897.0975</v>
          </cell>
          <cell r="P22">
            <v>1375</v>
          </cell>
          <cell r="Q22">
            <v>15522.0975</v>
          </cell>
          <cell r="R22">
            <v>16897.0975</v>
          </cell>
        </row>
        <row r="23">
          <cell r="A23" t="str">
            <v>Student Revs Full</v>
          </cell>
          <cell r="B23">
            <v>0</v>
          </cell>
          <cell r="C23">
            <v>300</v>
          </cell>
          <cell r="D23">
            <v>800</v>
          </cell>
          <cell r="E23">
            <v>5025</v>
          </cell>
          <cell r="F23">
            <v>5000</v>
          </cell>
          <cell r="G23">
            <v>5000</v>
          </cell>
          <cell r="H23">
            <v>5000</v>
          </cell>
          <cell r="I23">
            <v>4574.9340000000002</v>
          </cell>
          <cell r="J23">
            <v>5297.2920000000004</v>
          </cell>
          <cell r="K23">
            <v>3852.576</v>
          </cell>
          <cell r="L23">
            <v>4815.7</v>
          </cell>
          <cell r="M23">
            <v>4334.1480000000001</v>
          </cell>
          <cell r="N23">
            <v>43999.65</v>
          </cell>
          <cell r="P23">
            <v>21125</v>
          </cell>
          <cell r="Q23">
            <v>22874.65</v>
          </cell>
          <cell r="R23">
            <v>43999.65</v>
          </cell>
        </row>
        <row r="24">
          <cell r="A24" t="str">
            <v>Total Earned Food Service</v>
          </cell>
          <cell r="B24">
            <v>0</v>
          </cell>
          <cell r="C24">
            <v>7875</v>
          </cell>
          <cell r="D24">
            <v>16800</v>
          </cell>
          <cell r="E24">
            <v>57825</v>
          </cell>
          <cell r="F24">
            <v>25228</v>
          </cell>
          <cell r="G24">
            <v>35000</v>
          </cell>
          <cell r="H24">
            <v>35000</v>
          </cell>
          <cell r="I24">
            <v>38704.322</v>
          </cell>
          <cell r="J24">
            <v>41657.635999999999</v>
          </cell>
          <cell r="K24">
            <v>35751.008000000002</v>
          </cell>
          <cell r="L24">
            <v>39688.74</v>
          </cell>
          <cell r="M24">
            <v>37719.883999999998</v>
          </cell>
          <cell r="N24">
            <v>371249.58999999997</v>
          </cell>
          <cell r="P24">
            <v>177728</v>
          </cell>
          <cell r="Q24">
            <v>193521.59</v>
          </cell>
          <cell r="R24">
            <v>371249.59</v>
          </cell>
        </row>
        <row r="26">
          <cell r="A26" t="str">
            <v>Total Revenues</v>
          </cell>
          <cell r="B26">
            <v>353511</v>
          </cell>
          <cell r="C26">
            <v>361386</v>
          </cell>
          <cell r="D26">
            <v>243429</v>
          </cell>
          <cell r="E26">
            <v>333243</v>
          </cell>
          <cell r="F26">
            <v>326662.65999999997</v>
          </cell>
          <cell r="G26">
            <v>340266.16</v>
          </cell>
          <cell r="H26">
            <v>335796</v>
          </cell>
          <cell r="I26">
            <v>339500.32199999999</v>
          </cell>
          <cell r="J26">
            <v>342453.636</v>
          </cell>
          <cell r="K26">
            <v>341547.00800000003</v>
          </cell>
          <cell r="L26">
            <v>340484.74</v>
          </cell>
          <cell r="M26">
            <v>363515.88400000002</v>
          </cell>
          <cell r="N26">
            <v>4021795.41</v>
          </cell>
          <cell r="P26">
            <v>2294293.8199999998</v>
          </cell>
          <cell r="Q26">
            <v>1727501.59</v>
          </cell>
          <cell r="R26">
            <v>4021795.4099999997</v>
          </cell>
        </row>
        <row r="29">
          <cell r="A29" t="str">
            <v>Salaried Personnel</v>
          </cell>
        </row>
        <row r="30">
          <cell r="A30" t="str">
            <v>School Leadership</v>
          </cell>
          <cell r="B30">
            <v>19502</v>
          </cell>
          <cell r="C30">
            <v>13213</v>
          </cell>
          <cell r="D30">
            <v>14486</v>
          </cell>
          <cell r="E30">
            <v>27604</v>
          </cell>
          <cell r="F30">
            <v>18205</v>
          </cell>
          <cell r="G30">
            <v>2008</v>
          </cell>
          <cell r="H30">
            <v>17757</v>
          </cell>
          <cell r="I30">
            <v>14040</v>
          </cell>
          <cell r="J30">
            <v>14040</v>
          </cell>
          <cell r="K30">
            <v>14040</v>
          </cell>
          <cell r="L30">
            <v>14040</v>
          </cell>
          <cell r="M30">
            <v>14040</v>
          </cell>
          <cell r="N30">
            <v>182975</v>
          </cell>
          <cell r="P30">
            <v>112775</v>
          </cell>
          <cell r="Q30">
            <v>70200</v>
          </cell>
          <cell r="R30">
            <v>182975</v>
          </cell>
        </row>
        <row r="31">
          <cell r="A31" t="str">
            <v>Teacher Salaries - Reg. Educ.</v>
          </cell>
          <cell r="B31">
            <v>53631</v>
          </cell>
          <cell r="C31">
            <v>82104</v>
          </cell>
          <cell r="D31">
            <v>80997</v>
          </cell>
          <cell r="E31">
            <v>81231</v>
          </cell>
          <cell r="F31">
            <v>74034</v>
          </cell>
          <cell r="G31">
            <v>61504</v>
          </cell>
          <cell r="H31">
            <v>103922</v>
          </cell>
          <cell r="I31">
            <v>76180</v>
          </cell>
          <cell r="J31">
            <v>76180</v>
          </cell>
          <cell r="K31">
            <v>76180</v>
          </cell>
          <cell r="L31">
            <v>76180</v>
          </cell>
          <cell r="M31">
            <v>76180</v>
          </cell>
          <cell r="N31">
            <v>918323</v>
          </cell>
          <cell r="P31">
            <v>537423</v>
          </cell>
          <cell r="Q31">
            <v>380900</v>
          </cell>
          <cell r="R31">
            <v>918323</v>
          </cell>
        </row>
        <row r="32">
          <cell r="A32" t="str">
            <v>Teacher Salaries - SPED</v>
          </cell>
          <cell r="B32">
            <v>2500</v>
          </cell>
          <cell r="C32">
            <v>4356</v>
          </cell>
          <cell r="D32">
            <v>6248</v>
          </cell>
          <cell r="E32">
            <v>3271</v>
          </cell>
          <cell r="F32">
            <v>4625</v>
          </cell>
          <cell r="G32">
            <v>3375</v>
          </cell>
          <cell r="H32">
            <v>5958</v>
          </cell>
          <cell r="I32">
            <v>2773.3333333333335</v>
          </cell>
          <cell r="J32">
            <v>2773.3333333333335</v>
          </cell>
          <cell r="K32">
            <v>2773.3333333333335</v>
          </cell>
          <cell r="L32">
            <v>2773.3333333333335</v>
          </cell>
          <cell r="M32">
            <v>2773.3333333333335</v>
          </cell>
          <cell r="N32">
            <v>44199.666666666672</v>
          </cell>
          <cell r="P32">
            <v>30333</v>
          </cell>
          <cell r="Q32">
            <v>13866.666666666668</v>
          </cell>
          <cell r="R32">
            <v>44199.666666666672</v>
          </cell>
        </row>
        <row r="33">
          <cell r="A33" t="str">
            <v>Specialty Teachers</v>
          </cell>
          <cell r="B33">
            <v>8542</v>
          </cell>
          <cell r="C33">
            <v>5355</v>
          </cell>
          <cell r="D33">
            <v>5270</v>
          </cell>
          <cell r="E33">
            <v>12843</v>
          </cell>
          <cell r="F33">
            <v>5605</v>
          </cell>
          <cell r="G33">
            <v>5604</v>
          </cell>
          <cell r="H33">
            <v>6876</v>
          </cell>
          <cell r="I33">
            <v>10400</v>
          </cell>
          <cell r="J33">
            <v>10400</v>
          </cell>
          <cell r="K33">
            <v>10400</v>
          </cell>
          <cell r="L33">
            <v>10400</v>
          </cell>
          <cell r="M33">
            <v>10400</v>
          </cell>
          <cell r="N33">
            <v>102095</v>
          </cell>
          <cell r="P33">
            <v>50095</v>
          </cell>
          <cell r="Q33">
            <v>52000</v>
          </cell>
          <cell r="R33">
            <v>102095</v>
          </cell>
        </row>
        <row r="34">
          <cell r="A34" t="str">
            <v xml:space="preserve">Technology Staff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Instructional Asst.</v>
          </cell>
          <cell r="B35">
            <v>13635</v>
          </cell>
          <cell r="C35">
            <v>21770</v>
          </cell>
          <cell r="D35">
            <v>24174</v>
          </cell>
          <cell r="E35">
            <v>26478</v>
          </cell>
          <cell r="F35">
            <v>24129</v>
          </cell>
          <cell r="G35">
            <v>24694</v>
          </cell>
          <cell r="H35">
            <v>29688</v>
          </cell>
          <cell r="I35">
            <v>20000</v>
          </cell>
          <cell r="J35">
            <v>20000</v>
          </cell>
          <cell r="K35">
            <v>20000</v>
          </cell>
          <cell r="L35">
            <v>20000</v>
          </cell>
          <cell r="M35">
            <v>20000</v>
          </cell>
          <cell r="N35">
            <v>264568</v>
          </cell>
          <cell r="P35">
            <v>164568</v>
          </cell>
          <cell r="Q35">
            <v>100000</v>
          </cell>
          <cell r="R35">
            <v>264568</v>
          </cell>
        </row>
        <row r="36">
          <cell r="A36" t="str">
            <v>Health &amp; Guidance</v>
          </cell>
          <cell r="B36">
            <v>1260</v>
          </cell>
          <cell r="C36">
            <v>1360</v>
          </cell>
          <cell r="D36">
            <v>1825</v>
          </cell>
          <cell r="E36">
            <v>2116</v>
          </cell>
          <cell r="F36">
            <v>1941</v>
          </cell>
          <cell r="G36">
            <v>2242</v>
          </cell>
          <cell r="H36">
            <v>1941</v>
          </cell>
          <cell r="I36">
            <v>2600</v>
          </cell>
          <cell r="J36">
            <v>2600</v>
          </cell>
          <cell r="K36">
            <v>2600</v>
          </cell>
          <cell r="L36">
            <v>2600</v>
          </cell>
          <cell r="M36">
            <v>2600</v>
          </cell>
          <cell r="N36">
            <v>25685</v>
          </cell>
          <cell r="P36">
            <v>12685</v>
          </cell>
          <cell r="Q36">
            <v>13000</v>
          </cell>
          <cell r="R36">
            <v>25685</v>
          </cell>
        </row>
        <row r="37">
          <cell r="A37" t="str">
            <v>Librarian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2127</v>
          </cell>
          <cell r="G37">
            <v>2034</v>
          </cell>
          <cell r="H37">
            <v>2033</v>
          </cell>
          <cell r="I37">
            <v>2253.3333333333335</v>
          </cell>
          <cell r="J37">
            <v>2253.3333333333335</v>
          </cell>
          <cell r="K37">
            <v>2253.3333333333335</v>
          </cell>
          <cell r="L37">
            <v>2253.3333333333335</v>
          </cell>
          <cell r="M37">
            <v>2253.3333333333335</v>
          </cell>
          <cell r="N37">
            <v>17460.666666666668</v>
          </cell>
          <cell r="P37">
            <v>6194</v>
          </cell>
          <cell r="Q37">
            <v>11266.666666666668</v>
          </cell>
          <cell r="R37">
            <v>17460.666666666668</v>
          </cell>
        </row>
        <row r="38">
          <cell r="A38" t="str">
            <v>Total Salaries</v>
          </cell>
          <cell r="B38">
            <v>99070</v>
          </cell>
          <cell r="C38">
            <v>128158</v>
          </cell>
          <cell r="D38">
            <v>133000</v>
          </cell>
          <cell r="E38">
            <v>153543</v>
          </cell>
          <cell r="F38">
            <v>130666</v>
          </cell>
          <cell r="G38">
            <v>101461</v>
          </cell>
          <cell r="H38">
            <v>168175</v>
          </cell>
          <cell r="I38">
            <v>128246.66666666666</v>
          </cell>
          <cell r="J38">
            <v>128246.66666666666</v>
          </cell>
          <cell r="K38">
            <v>128246.66666666666</v>
          </cell>
          <cell r="L38">
            <v>128246.66666666666</v>
          </cell>
          <cell r="M38">
            <v>128246.66666666666</v>
          </cell>
          <cell r="N38">
            <v>1555306.3333333333</v>
          </cell>
          <cell r="P38">
            <v>914073</v>
          </cell>
          <cell r="Q38">
            <v>641233.33333333337</v>
          </cell>
          <cell r="R38">
            <v>1555306.3333333335</v>
          </cell>
        </row>
        <row r="40">
          <cell r="A40" t="str">
            <v>Hourly Wage Personnel</v>
          </cell>
        </row>
        <row r="41">
          <cell r="A41" t="str">
            <v>Administrative Staff</v>
          </cell>
          <cell r="B41">
            <v>4134</v>
          </cell>
          <cell r="C41">
            <v>4034</v>
          </cell>
          <cell r="D41">
            <v>3543</v>
          </cell>
          <cell r="E41">
            <v>7399</v>
          </cell>
          <cell r="F41">
            <v>3777</v>
          </cell>
          <cell r="G41">
            <v>4104</v>
          </cell>
          <cell r="H41">
            <v>7036</v>
          </cell>
          <cell r="I41">
            <v>7036</v>
          </cell>
          <cell r="J41">
            <v>7036</v>
          </cell>
          <cell r="K41">
            <v>7036</v>
          </cell>
          <cell r="L41">
            <v>7036</v>
          </cell>
          <cell r="M41">
            <v>7036</v>
          </cell>
          <cell r="N41">
            <v>69207</v>
          </cell>
          <cell r="P41">
            <v>34027</v>
          </cell>
          <cell r="Q41">
            <v>35180</v>
          </cell>
          <cell r="R41">
            <v>69207</v>
          </cell>
        </row>
        <row r="42">
          <cell r="A42" t="str">
            <v>Custodial Staff</v>
          </cell>
          <cell r="B42">
            <v>1500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750</v>
          </cell>
          <cell r="I42">
            <v>1560</v>
          </cell>
          <cell r="J42">
            <v>1560</v>
          </cell>
          <cell r="K42">
            <v>1560</v>
          </cell>
          <cell r="L42">
            <v>1560</v>
          </cell>
          <cell r="M42">
            <v>1560</v>
          </cell>
          <cell r="N42">
            <v>10050</v>
          </cell>
          <cell r="P42">
            <v>2250</v>
          </cell>
          <cell r="Q42">
            <v>7800</v>
          </cell>
          <cell r="R42">
            <v>10050</v>
          </cell>
        </row>
        <row r="43">
          <cell r="A43" t="str">
            <v>Food Service Staff</v>
          </cell>
          <cell r="B43">
            <v>536</v>
          </cell>
          <cell r="C43">
            <v>891</v>
          </cell>
          <cell r="D43">
            <v>1775</v>
          </cell>
          <cell r="E43">
            <v>3149</v>
          </cell>
          <cell r="F43">
            <v>5293</v>
          </cell>
          <cell r="G43">
            <v>1915</v>
          </cell>
          <cell r="H43">
            <v>3739</v>
          </cell>
          <cell r="I43">
            <v>2080</v>
          </cell>
          <cell r="J43">
            <v>2080</v>
          </cell>
          <cell r="K43">
            <v>2080</v>
          </cell>
          <cell r="L43">
            <v>2080</v>
          </cell>
          <cell r="M43">
            <v>2080</v>
          </cell>
          <cell r="N43">
            <v>27698</v>
          </cell>
          <cell r="P43">
            <v>17298</v>
          </cell>
          <cell r="Q43">
            <v>10400</v>
          </cell>
          <cell r="R43">
            <v>27698</v>
          </cell>
        </row>
        <row r="44">
          <cell r="A44" t="str">
            <v>Other School Staff</v>
          </cell>
          <cell r="B44">
            <v>2000</v>
          </cell>
          <cell r="C44">
            <v>3880</v>
          </cell>
          <cell r="D44">
            <v>22447</v>
          </cell>
          <cell r="E44">
            <v>2918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31245</v>
          </cell>
          <cell r="P44">
            <v>31245</v>
          </cell>
          <cell r="Q44">
            <v>0</v>
          </cell>
          <cell r="R44">
            <v>31245</v>
          </cell>
        </row>
        <row r="45">
          <cell r="A45" t="str">
            <v>Temporary Staff</v>
          </cell>
          <cell r="B45">
            <v>2480</v>
          </cell>
          <cell r="C45">
            <v>4148</v>
          </cell>
          <cell r="D45">
            <v>10033</v>
          </cell>
          <cell r="E45">
            <v>4890</v>
          </cell>
          <cell r="F45">
            <v>8320</v>
          </cell>
          <cell r="G45">
            <v>4700</v>
          </cell>
          <cell r="H45">
            <v>4519</v>
          </cell>
          <cell r="I45">
            <v>1050</v>
          </cell>
          <cell r="J45">
            <v>1050</v>
          </cell>
          <cell r="K45">
            <v>1050</v>
          </cell>
          <cell r="L45">
            <v>1050</v>
          </cell>
          <cell r="M45">
            <v>1050</v>
          </cell>
          <cell r="N45">
            <v>44340</v>
          </cell>
          <cell r="P45">
            <v>39090</v>
          </cell>
          <cell r="Q45">
            <v>5250</v>
          </cell>
          <cell r="R45">
            <v>44340</v>
          </cell>
        </row>
        <row r="46">
          <cell r="A46" t="str">
            <v>Total Hourly Wages</v>
          </cell>
          <cell r="B46">
            <v>10650</v>
          </cell>
          <cell r="C46">
            <v>12953</v>
          </cell>
          <cell r="D46">
            <v>37798</v>
          </cell>
          <cell r="E46">
            <v>18356</v>
          </cell>
          <cell r="F46">
            <v>17390</v>
          </cell>
          <cell r="G46">
            <v>10719</v>
          </cell>
          <cell r="H46">
            <v>16044</v>
          </cell>
          <cell r="I46">
            <v>11726</v>
          </cell>
          <cell r="J46">
            <v>11726</v>
          </cell>
          <cell r="K46">
            <v>11726</v>
          </cell>
          <cell r="L46">
            <v>11726</v>
          </cell>
          <cell r="M46">
            <v>11726</v>
          </cell>
          <cell r="N46">
            <v>182540</v>
          </cell>
          <cell r="P46">
            <v>123910</v>
          </cell>
          <cell r="Q46">
            <v>58630</v>
          </cell>
          <cell r="R46">
            <v>182540</v>
          </cell>
        </row>
        <row r="48">
          <cell r="A48" t="str">
            <v>Taxes &amp; Benefits</v>
          </cell>
        </row>
        <row r="49">
          <cell r="A49" t="str">
            <v>Group Insurance &amp; Other</v>
          </cell>
          <cell r="B49">
            <v>335</v>
          </cell>
          <cell r="C49">
            <v>11091</v>
          </cell>
          <cell r="D49">
            <v>13335</v>
          </cell>
          <cell r="E49">
            <v>13539</v>
          </cell>
          <cell r="F49">
            <v>32083</v>
          </cell>
          <cell r="G49">
            <v>50163</v>
          </cell>
          <cell r="H49">
            <v>22933</v>
          </cell>
          <cell r="I49">
            <v>19878.233333333334</v>
          </cell>
          <cell r="J49">
            <v>19878.233333333334</v>
          </cell>
          <cell r="K49">
            <v>19878.233333333334</v>
          </cell>
          <cell r="L49">
            <v>29878.233333333301</v>
          </cell>
          <cell r="M49">
            <v>29878.233333333301</v>
          </cell>
          <cell r="N49">
            <v>262870.16666666663</v>
          </cell>
          <cell r="P49">
            <v>143479</v>
          </cell>
          <cell r="Q49">
            <v>119391.1666666666</v>
          </cell>
          <cell r="R49">
            <v>262870.16666666663</v>
          </cell>
        </row>
        <row r="50">
          <cell r="A50" t="str">
            <v>Worker's Compensation</v>
          </cell>
          <cell r="B50">
            <v>518</v>
          </cell>
          <cell r="C50">
            <v>518</v>
          </cell>
          <cell r="D50">
            <v>518</v>
          </cell>
          <cell r="E50">
            <v>-733</v>
          </cell>
          <cell r="F50">
            <v>204</v>
          </cell>
          <cell r="G50">
            <v>203</v>
          </cell>
          <cell r="H50">
            <v>-641</v>
          </cell>
          <cell r="I50">
            <v>686.7833333333333</v>
          </cell>
          <cell r="J50">
            <v>686.7833333333333</v>
          </cell>
          <cell r="K50">
            <v>686.7833333333333</v>
          </cell>
          <cell r="L50">
            <v>686.7833333333333</v>
          </cell>
          <cell r="M50">
            <v>686.7833333333333</v>
          </cell>
          <cell r="N50">
            <v>4020.9166666666665</v>
          </cell>
          <cell r="P50">
            <v>587</v>
          </cell>
          <cell r="Q50">
            <v>3433.9166666666665</v>
          </cell>
          <cell r="R50">
            <v>4020.9166666666665</v>
          </cell>
        </row>
        <row r="51">
          <cell r="A51" t="str">
            <v>Payroll Taxes</v>
          </cell>
          <cell r="B51">
            <v>8377</v>
          </cell>
          <cell r="C51">
            <v>13014</v>
          </cell>
          <cell r="D51">
            <v>15481</v>
          </cell>
          <cell r="E51">
            <v>13449</v>
          </cell>
          <cell r="F51">
            <v>12419</v>
          </cell>
          <cell r="G51">
            <v>5341</v>
          </cell>
          <cell r="H51">
            <v>18774</v>
          </cell>
          <cell r="I51">
            <v>10782.498333333331</v>
          </cell>
          <cell r="J51">
            <v>10782.498333333331</v>
          </cell>
          <cell r="K51">
            <v>10782.498333333331</v>
          </cell>
          <cell r="L51">
            <v>10782.498333333331</v>
          </cell>
          <cell r="M51">
            <v>10782.498333333331</v>
          </cell>
          <cell r="N51">
            <v>140767.49166666664</v>
          </cell>
          <cell r="P51">
            <v>86855</v>
          </cell>
          <cell r="Q51">
            <v>53912.491666666654</v>
          </cell>
          <cell r="R51">
            <v>140767.49166666664</v>
          </cell>
        </row>
        <row r="52">
          <cell r="A52" t="str">
            <v>Total Taxes &amp; Benefits</v>
          </cell>
          <cell r="B52">
            <v>9230</v>
          </cell>
          <cell r="C52">
            <v>24623</v>
          </cell>
          <cell r="D52">
            <v>29334</v>
          </cell>
          <cell r="E52">
            <v>26255</v>
          </cell>
          <cell r="F52">
            <v>44706</v>
          </cell>
          <cell r="G52">
            <v>55707</v>
          </cell>
          <cell r="H52">
            <v>41066</v>
          </cell>
          <cell r="I52">
            <v>31347.514999999999</v>
          </cell>
          <cell r="J52">
            <v>31347.514999999999</v>
          </cell>
          <cell r="K52">
            <v>31347.514999999999</v>
          </cell>
          <cell r="L52">
            <v>41347.514999999963</v>
          </cell>
          <cell r="M52">
            <v>41347.514999999963</v>
          </cell>
          <cell r="N52">
            <v>407658.57499999995</v>
          </cell>
          <cell r="P52">
            <v>230921</v>
          </cell>
          <cell r="Q52">
            <v>176737.57499999992</v>
          </cell>
          <cell r="R52">
            <v>407658.57499999995</v>
          </cell>
        </row>
        <row r="54">
          <cell r="A54" t="str">
            <v>Contracted SPED - Instruction</v>
          </cell>
          <cell r="B54">
            <v>0</v>
          </cell>
          <cell r="C54">
            <v>0</v>
          </cell>
          <cell r="D54">
            <v>0</v>
          </cell>
          <cell r="E54">
            <v>15397</v>
          </cell>
          <cell r="F54">
            <v>0</v>
          </cell>
          <cell r="G54">
            <v>0</v>
          </cell>
          <cell r="H54">
            <v>0</v>
          </cell>
          <cell r="I54">
            <v>2730</v>
          </cell>
          <cell r="J54">
            <v>2730</v>
          </cell>
          <cell r="K54">
            <v>2730</v>
          </cell>
          <cell r="L54">
            <v>2730</v>
          </cell>
          <cell r="M54">
            <v>2730</v>
          </cell>
          <cell r="N54">
            <v>29047</v>
          </cell>
          <cell r="P54">
            <v>15397</v>
          </cell>
          <cell r="Q54">
            <v>13650</v>
          </cell>
          <cell r="R54">
            <v>29047</v>
          </cell>
        </row>
        <row r="56">
          <cell r="A56" t="str">
            <v>Total Cost of Compensation</v>
          </cell>
          <cell r="B56">
            <v>118950</v>
          </cell>
          <cell r="C56">
            <v>165734</v>
          </cell>
          <cell r="D56">
            <v>200132</v>
          </cell>
          <cell r="E56">
            <v>213551</v>
          </cell>
          <cell r="F56">
            <v>192762</v>
          </cell>
          <cell r="G56">
            <v>167887</v>
          </cell>
          <cell r="H56">
            <v>225285</v>
          </cell>
          <cell r="I56">
            <v>174050.18166666664</v>
          </cell>
          <cell r="J56">
            <v>174050.18166666664</v>
          </cell>
          <cell r="K56">
            <v>174050.18166666664</v>
          </cell>
          <cell r="L56">
            <v>184050.18166666661</v>
          </cell>
          <cell r="M56">
            <v>184050.18166666661</v>
          </cell>
          <cell r="N56">
            <v>2174551.9083333332</v>
          </cell>
          <cell r="P56">
            <v>1284301</v>
          </cell>
          <cell r="Q56">
            <v>890250.90833333333</v>
          </cell>
          <cell r="R56">
            <v>2174551.9083333332</v>
          </cell>
        </row>
        <row r="58">
          <cell r="A58" t="str">
            <v>Revenues Less Total Compensation</v>
          </cell>
          <cell r="B58">
            <v>234561</v>
          </cell>
          <cell r="C58">
            <v>195652</v>
          </cell>
          <cell r="D58">
            <v>43297</v>
          </cell>
          <cell r="E58">
            <v>119692</v>
          </cell>
          <cell r="F58">
            <v>133900.65999999997</v>
          </cell>
          <cell r="G58">
            <v>172379.15999999997</v>
          </cell>
          <cell r="H58">
            <v>110511</v>
          </cell>
          <cell r="I58">
            <v>165450.14033333334</v>
          </cell>
          <cell r="J58">
            <v>168403.45433333336</v>
          </cell>
          <cell r="K58">
            <v>167496.82633333339</v>
          </cell>
          <cell r="L58">
            <v>156434.55833333338</v>
          </cell>
          <cell r="M58">
            <v>179465.70233333341</v>
          </cell>
          <cell r="N58">
            <v>1847243.5016666667</v>
          </cell>
          <cell r="P58">
            <v>1009992.8199999998</v>
          </cell>
          <cell r="Q58">
            <v>837250.68166666676</v>
          </cell>
          <cell r="R58">
            <v>1847243.5016666665</v>
          </cell>
        </row>
        <row r="60">
          <cell r="A60" t="str">
            <v>Professional Services</v>
          </cell>
        </row>
        <row r="61">
          <cell r="A61" t="str">
            <v>Legal Fees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364</v>
          </cell>
          <cell r="J61">
            <v>364</v>
          </cell>
          <cell r="K61">
            <v>364</v>
          </cell>
          <cell r="L61">
            <v>364</v>
          </cell>
          <cell r="M61">
            <v>364</v>
          </cell>
          <cell r="N61">
            <v>1820</v>
          </cell>
          <cell r="P61">
            <v>0</v>
          </cell>
          <cell r="Q61">
            <v>1820</v>
          </cell>
          <cell r="R61">
            <v>1820</v>
          </cell>
        </row>
        <row r="62">
          <cell r="A62" t="str">
            <v>Accounting Services</v>
          </cell>
          <cell r="B62">
            <v>198</v>
          </cell>
          <cell r="C62">
            <v>752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409.5</v>
          </cell>
          <cell r="J62">
            <v>409.5</v>
          </cell>
          <cell r="K62">
            <v>409.5</v>
          </cell>
          <cell r="L62">
            <v>409.5</v>
          </cell>
          <cell r="M62">
            <v>409.5</v>
          </cell>
          <cell r="N62">
            <v>2997.5</v>
          </cell>
          <cell r="P62">
            <v>950</v>
          </cell>
          <cell r="Q62">
            <v>2047.5</v>
          </cell>
          <cell r="R62">
            <v>2997.5</v>
          </cell>
        </row>
        <row r="63">
          <cell r="A63" t="str">
            <v>Consulting Fees</v>
          </cell>
          <cell r="B63">
            <v>713</v>
          </cell>
          <cell r="C63">
            <v>8937</v>
          </cell>
          <cell r="D63">
            <v>2723</v>
          </cell>
          <cell r="E63">
            <v>-12373</v>
          </cell>
          <cell r="F63">
            <v>480</v>
          </cell>
          <cell r="G63">
            <v>0</v>
          </cell>
          <cell r="H63">
            <v>4713</v>
          </cell>
          <cell r="I63">
            <v>1820</v>
          </cell>
          <cell r="J63">
            <v>1820</v>
          </cell>
          <cell r="K63">
            <v>1820</v>
          </cell>
          <cell r="L63">
            <v>1820</v>
          </cell>
          <cell r="M63">
            <v>1820</v>
          </cell>
          <cell r="N63">
            <v>14293</v>
          </cell>
          <cell r="P63">
            <v>5193</v>
          </cell>
          <cell r="Q63">
            <v>9100</v>
          </cell>
          <cell r="R63">
            <v>14293</v>
          </cell>
        </row>
        <row r="64">
          <cell r="A64" t="str">
            <v>Bank Service Fees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136.5</v>
          </cell>
          <cell r="J64">
            <v>136.5</v>
          </cell>
          <cell r="K64">
            <v>136.5</v>
          </cell>
          <cell r="L64">
            <v>136.5</v>
          </cell>
          <cell r="M64">
            <v>136.5</v>
          </cell>
          <cell r="N64">
            <v>682.5</v>
          </cell>
          <cell r="P64">
            <v>0</v>
          </cell>
          <cell r="Q64">
            <v>682.5</v>
          </cell>
          <cell r="R64">
            <v>682.5</v>
          </cell>
        </row>
        <row r="65">
          <cell r="A65" t="str">
            <v>Computer Service Fees</v>
          </cell>
          <cell r="B65">
            <v>482</v>
          </cell>
          <cell r="C65">
            <v>482</v>
          </cell>
          <cell r="D65">
            <v>482</v>
          </cell>
          <cell r="E65">
            <v>0</v>
          </cell>
          <cell r="F65">
            <v>0</v>
          </cell>
          <cell r="G65">
            <v>965</v>
          </cell>
          <cell r="H65">
            <v>1703</v>
          </cell>
          <cell r="I65">
            <v>750</v>
          </cell>
          <cell r="J65">
            <v>750</v>
          </cell>
          <cell r="K65">
            <v>750</v>
          </cell>
          <cell r="L65">
            <v>750</v>
          </cell>
          <cell r="M65">
            <v>750</v>
          </cell>
          <cell r="N65">
            <v>7864</v>
          </cell>
          <cell r="P65">
            <v>4114</v>
          </cell>
          <cell r="Q65">
            <v>3750</v>
          </cell>
          <cell r="R65">
            <v>7864</v>
          </cell>
        </row>
        <row r="66">
          <cell r="A66" t="str">
            <v>Temporary Agency Fees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Recruiting Fees</v>
          </cell>
          <cell r="B67">
            <v>0</v>
          </cell>
          <cell r="C67">
            <v>779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1820</v>
          </cell>
          <cell r="L67">
            <v>1820</v>
          </cell>
          <cell r="M67">
            <v>1820</v>
          </cell>
          <cell r="N67">
            <v>6239</v>
          </cell>
          <cell r="P67">
            <v>779</v>
          </cell>
          <cell r="Q67">
            <v>5460</v>
          </cell>
          <cell r="R67">
            <v>6239</v>
          </cell>
        </row>
        <row r="68">
          <cell r="A68" t="str">
            <v>School Management Fees</v>
          </cell>
          <cell r="B68">
            <v>58283</v>
          </cell>
          <cell r="C68">
            <v>63568</v>
          </cell>
          <cell r="D68">
            <v>83551</v>
          </cell>
          <cell r="E68">
            <v>73313</v>
          </cell>
          <cell r="F68">
            <v>71865</v>
          </cell>
          <cell r="G68">
            <v>74859</v>
          </cell>
          <cell r="H68">
            <v>73875</v>
          </cell>
          <cell r="I68">
            <v>74690.07084</v>
          </cell>
          <cell r="J68">
            <v>75339.799920000005</v>
          </cell>
          <cell r="K68">
            <v>75140.34176000001</v>
          </cell>
          <cell r="L68">
            <v>74906.642800000001</v>
          </cell>
          <cell r="M68">
            <v>79973.494480000008</v>
          </cell>
          <cell r="N68">
            <v>879364.34979999997</v>
          </cell>
          <cell r="P68">
            <v>499314</v>
          </cell>
          <cell r="Q68">
            <v>380050.34980000003</v>
          </cell>
          <cell r="R68">
            <v>879364.34979999997</v>
          </cell>
        </row>
        <row r="69">
          <cell r="A69" t="str">
            <v xml:space="preserve">Marketing &amp; Enrollment Fees 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300</v>
          </cell>
          <cell r="L69">
            <v>300</v>
          </cell>
          <cell r="M69">
            <v>300</v>
          </cell>
          <cell r="N69">
            <v>900</v>
          </cell>
          <cell r="P69">
            <v>0</v>
          </cell>
          <cell r="Q69">
            <v>900</v>
          </cell>
          <cell r="R69">
            <v>900</v>
          </cell>
        </row>
        <row r="70">
          <cell r="A70" t="str">
            <v>Local Advertising Fund</v>
          </cell>
          <cell r="B70">
            <v>1479</v>
          </cell>
          <cell r="C70">
            <v>304</v>
          </cell>
          <cell r="D70">
            <v>0</v>
          </cell>
          <cell r="E70">
            <v>0</v>
          </cell>
          <cell r="F70">
            <v>90</v>
          </cell>
          <cell r="G70">
            <v>-290</v>
          </cell>
          <cell r="H70">
            <v>-265</v>
          </cell>
          <cell r="I70">
            <v>0</v>
          </cell>
          <cell r="J70">
            <v>0</v>
          </cell>
          <cell r="K70">
            <v>500</v>
          </cell>
          <cell r="L70">
            <v>1000</v>
          </cell>
          <cell r="M70">
            <v>3500</v>
          </cell>
          <cell r="N70">
            <v>6318</v>
          </cell>
          <cell r="P70">
            <v>1318</v>
          </cell>
          <cell r="Q70">
            <v>5000</v>
          </cell>
          <cell r="R70">
            <v>6318</v>
          </cell>
        </row>
        <row r="71">
          <cell r="B71">
            <v>61155</v>
          </cell>
          <cell r="C71">
            <v>74822</v>
          </cell>
          <cell r="D71">
            <v>86756</v>
          </cell>
          <cell r="E71">
            <v>60940</v>
          </cell>
          <cell r="F71">
            <v>72435</v>
          </cell>
          <cell r="G71">
            <v>75534</v>
          </cell>
          <cell r="H71">
            <v>80026</v>
          </cell>
          <cell r="I71">
            <v>78170.07084</v>
          </cell>
          <cell r="J71">
            <v>78819.799920000005</v>
          </cell>
          <cell r="K71">
            <v>81240.34176000001</v>
          </cell>
          <cell r="L71">
            <v>81506.642800000001</v>
          </cell>
          <cell r="M71">
            <v>89073.494480000008</v>
          </cell>
          <cell r="N71">
            <v>920478.34979999997</v>
          </cell>
          <cell r="P71">
            <v>511668</v>
          </cell>
          <cell r="Q71">
            <v>408810.34980000003</v>
          </cell>
          <cell r="R71">
            <v>920478.34979999997</v>
          </cell>
        </row>
        <row r="73">
          <cell r="A73" t="str">
            <v>Vendor Services</v>
          </cell>
        </row>
        <row r="74">
          <cell r="A74" t="str">
            <v>Contracted Pupil Transportation</v>
          </cell>
          <cell r="B74">
            <v>244</v>
          </cell>
          <cell r="C74">
            <v>19800</v>
          </cell>
          <cell r="D74">
            <v>20146</v>
          </cell>
          <cell r="E74">
            <v>19962</v>
          </cell>
          <cell r="F74">
            <v>30909</v>
          </cell>
          <cell r="G74">
            <v>39288</v>
          </cell>
          <cell r="H74">
            <v>35989</v>
          </cell>
          <cell r="I74">
            <v>35000</v>
          </cell>
          <cell r="J74">
            <v>35000</v>
          </cell>
          <cell r="K74">
            <v>35000</v>
          </cell>
          <cell r="L74">
            <v>35000</v>
          </cell>
          <cell r="M74">
            <v>35000</v>
          </cell>
          <cell r="N74">
            <v>341338</v>
          </cell>
          <cell r="P74">
            <v>166338</v>
          </cell>
          <cell r="Q74">
            <v>175000</v>
          </cell>
          <cell r="R74">
            <v>341338</v>
          </cell>
        </row>
        <row r="75">
          <cell r="A75" t="str">
            <v>Contracted Food Service</v>
          </cell>
          <cell r="B75">
            <v>0</v>
          </cell>
          <cell r="C75">
            <v>7875</v>
          </cell>
          <cell r="D75">
            <v>13854</v>
          </cell>
          <cell r="E75">
            <v>43457</v>
          </cell>
          <cell r="F75">
            <v>27671</v>
          </cell>
          <cell r="G75">
            <v>71018</v>
          </cell>
          <cell r="H75">
            <v>44069</v>
          </cell>
          <cell r="I75">
            <v>46107.242999999995</v>
          </cell>
          <cell r="J75">
            <v>53387.333999999995</v>
          </cell>
          <cell r="K75">
            <v>38827.152000000002</v>
          </cell>
          <cell r="L75">
            <v>48533.94</v>
          </cell>
          <cell r="M75">
            <v>43680.546000000002</v>
          </cell>
          <cell r="N75">
            <v>438480.21499999997</v>
          </cell>
          <cell r="P75">
            <v>207944</v>
          </cell>
          <cell r="Q75">
            <v>230536.215</v>
          </cell>
          <cell r="R75">
            <v>438480.21499999997</v>
          </cell>
        </row>
        <row r="76">
          <cell r="A76" t="str">
            <v>Contracted SPED - Non-Instruction</v>
          </cell>
          <cell r="B76">
            <v>0</v>
          </cell>
          <cell r="C76">
            <v>0</v>
          </cell>
          <cell r="D76">
            <v>0</v>
          </cell>
          <cell r="E76">
            <v>661</v>
          </cell>
          <cell r="F76">
            <v>2183</v>
          </cell>
          <cell r="G76">
            <v>1507</v>
          </cell>
          <cell r="H76">
            <v>2595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6946</v>
          </cell>
          <cell r="P76">
            <v>6946</v>
          </cell>
          <cell r="Q76">
            <v>0</v>
          </cell>
          <cell r="R76">
            <v>6946</v>
          </cell>
        </row>
        <row r="77">
          <cell r="A77" t="str">
            <v>Contracted Custodial Services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6390</v>
          </cell>
          <cell r="H77">
            <v>0</v>
          </cell>
          <cell r="I77">
            <v>1958.6666666666667</v>
          </cell>
          <cell r="J77">
            <v>1958.6666666666667</v>
          </cell>
          <cell r="K77">
            <v>1958.6666666666667</v>
          </cell>
          <cell r="L77">
            <v>1958.6666666666667</v>
          </cell>
          <cell r="M77">
            <v>1958.6666666666667</v>
          </cell>
          <cell r="N77">
            <v>16183.333333333334</v>
          </cell>
          <cell r="P77">
            <v>6390</v>
          </cell>
          <cell r="Q77">
            <v>9793.3333333333339</v>
          </cell>
          <cell r="R77">
            <v>16183.333333333334</v>
          </cell>
        </row>
        <row r="78">
          <cell r="A78" t="str">
            <v>Contracted Maintenance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244</v>
          </cell>
          <cell r="C79">
            <v>27675</v>
          </cell>
          <cell r="D79">
            <v>34000</v>
          </cell>
          <cell r="E79">
            <v>64080</v>
          </cell>
          <cell r="F79">
            <v>60763</v>
          </cell>
          <cell r="G79">
            <v>118203</v>
          </cell>
          <cell r="H79">
            <v>82653</v>
          </cell>
          <cell r="I79">
            <v>83065.909666666659</v>
          </cell>
          <cell r="J79">
            <v>90346.000666666674</v>
          </cell>
          <cell r="K79">
            <v>75785.818666666673</v>
          </cell>
          <cell r="L79">
            <v>85492.606666666674</v>
          </cell>
          <cell r="M79">
            <v>80639.212666666674</v>
          </cell>
          <cell r="N79">
            <v>802947.54833333334</v>
          </cell>
          <cell r="P79">
            <v>387618</v>
          </cell>
          <cell r="Q79">
            <v>415329.54833333328</v>
          </cell>
          <cell r="R79">
            <v>802947.54833333334</v>
          </cell>
        </row>
        <row r="81">
          <cell r="A81" t="str">
            <v>Administrative Expenses</v>
          </cell>
        </row>
        <row r="82">
          <cell r="A82" t="str">
            <v>Travel/Auto</v>
          </cell>
          <cell r="B82">
            <v>0</v>
          </cell>
          <cell r="C82">
            <v>0</v>
          </cell>
          <cell r="D82">
            <v>581</v>
          </cell>
          <cell r="E82">
            <v>350</v>
          </cell>
          <cell r="F82">
            <v>0</v>
          </cell>
          <cell r="G82">
            <v>0</v>
          </cell>
          <cell r="H82">
            <v>1385</v>
          </cell>
          <cell r="I82">
            <v>114</v>
          </cell>
          <cell r="J82">
            <v>114</v>
          </cell>
          <cell r="K82">
            <v>114</v>
          </cell>
          <cell r="L82">
            <v>114</v>
          </cell>
          <cell r="M82">
            <v>114</v>
          </cell>
          <cell r="N82">
            <v>2886</v>
          </cell>
          <cell r="P82">
            <v>2316</v>
          </cell>
          <cell r="Q82">
            <v>570</v>
          </cell>
          <cell r="R82">
            <v>2886</v>
          </cell>
        </row>
        <row r="83">
          <cell r="A83" t="str">
            <v>Airfare</v>
          </cell>
          <cell r="B83">
            <v>0</v>
          </cell>
          <cell r="C83">
            <v>285</v>
          </cell>
          <cell r="D83">
            <v>990</v>
          </cell>
          <cell r="E83">
            <v>0</v>
          </cell>
          <cell r="F83">
            <v>0</v>
          </cell>
          <cell r="G83">
            <v>-285</v>
          </cell>
          <cell r="H83">
            <v>149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1139</v>
          </cell>
          <cell r="P83">
            <v>1139</v>
          </cell>
          <cell r="Q83">
            <v>0</v>
          </cell>
          <cell r="R83">
            <v>1139</v>
          </cell>
        </row>
        <row r="84">
          <cell r="A84" t="str">
            <v>Meals</v>
          </cell>
          <cell r="B84">
            <v>0</v>
          </cell>
          <cell r="C84">
            <v>80</v>
          </cell>
          <cell r="D84">
            <v>277</v>
          </cell>
          <cell r="E84">
            <v>0</v>
          </cell>
          <cell r="F84">
            <v>0</v>
          </cell>
          <cell r="G84">
            <v>0</v>
          </cell>
          <cell r="H84">
            <v>72</v>
          </cell>
          <cell r="I84">
            <v>85.5</v>
          </cell>
          <cell r="J84">
            <v>85.5</v>
          </cell>
          <cell r="K84">
            <v>85.5</v>
          </cell>
          <cell r="L84">
            <v>85.5</v>
          </cell>
          <cell r="M84">
            <v>85.5</v>
          </cell>
          <cell r="N84">
            <v>856.5</v>
          </cell>
          <cell r="P84">
            <v>429</v>
          </cell>
          <cell r="Q84">
            <v>427.5</v>
          </cell>
          <cell r="R84">
            <v>856.5</v>
          </cell>
        </row>
        <row r="85">
          <cell r="A85" t="str">
            <v>Lodging</v>
          </cell>
          <cell r="B85">
            <v>0</v>
          </cell>
          <cell r="C85">
            <v>0</v>
          </cell>
          <cell r="D85">
            <v>698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142.5</v>
          </cell>
          <cell r="J85">
            <v>142.5</v>
          </cell>
          <cell r="K85">
            <v>142.5</v>
          </cell>
          <cell r="L85">
            <v>142.5</v>
          </cell>
          <cell r="M85">
            <v>142.5</v>
          </cell>
          <cell r="N85">
            <v>1410.5</v>
          </cell>
          <cell r="P85">
            <v>698</v>
          </cell>
          <cell r="Q85">
            <v>712.5</v>
          </cell>
          <cell r="R85">
            <v>1410.5</v>
          </cell>
        </row>
        <row r="86">
          <cell r="A86" t="str">
            <v>Business Expense - Other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Dues &amp; Subscriptions</v>
          </cell>
          <cell r="B87">
            <v>0</v>
          </cell>
          <cell r="C87">
            <v>0</v>
          </cell>
          <cell r="D87">
            <v>32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114</v>
          </cell>
          <cell r="J87">
            <v>114</v>
          </cell>
          <cell r="K87">
            <v>114</v>
          </cell>
          <cell r="L87">
            <v>114</v>
          </cell>
          <cell r="M87">
            <v>114</v>
          </cell>
          <cell r="N87">
            <v>602</v>
          </cell>
          <cell r="P87">
            <v>32</v>
          </cell>
          <cell r="Q87">
            <v>570</v>
          </cell>
          <cell r="R87">
            <v>602</v>
          </cell>
        </row>
        <row r="88">
          <cell r="A88" t="str">
            <v>Printing</v>
          </cell>
          <cell r="B88">
            <v>2315</v>
          </cell>
          <cell r="C88">
            <v>170</v>
          </cell>
          <cell r="D88">
            <v>0</v>
          </cell>
          <cell r="E88">
            <v>1349</v>
          </cell>
          <cell r="F88">
            <v>0</v>
          </cell>
          <cell r="G88">
            <v>0</v>
          </cell>
          <cell r="H88">
            <v>0</v>
          </cell>
          <cell r="I88">
            <v>1228.5</v>
          </cell>
          <cell r="J88">
            <v>1228.5</v>
          </cell>
          <cell r="K88">
            <v>1228.5</v>
          </cell>
          <cell r="L88">
            <v>1228.5</v>
          </cell>
          <cell r="M88">
            <v>1228.5</v>
          </cell>
          <cell r="N88">
            <v>9976.5</v>
          </cell>
          <cell r="P88">
            <v>3834</v>
          </cell>
          <cell r="Q88">
            <v>6142.5</v>
          </cell>
          <cell r="R88">
            <v>9976.5</v>
          </cell>
        </row>
        <row r="89">
          <cell r="A89" t="str">
            <v>Office Supplies</v>
          </cell>
          <cell r="B89">
            <v>1862</v>
          </cell>
          <cell r="C89">
            <v>2075</v>
          </cell>
          <cell r="D89">
            <v>4898</v>
          </cell>
          <cell r="E89">
            <v>7594</v>
          </cell>
          <cell r="F89">
            <v>1500</v>
          </cell>
          <cell r="G89">
            <v>9193</v>
          </cell>
          <cell r="H89">
            <v>723</v>
          </cell>
          <cell r="I89">
            <v>1456</v>
          </cell>
          <cell r="J89">
            <v>1456</v>
          </cell>
          <cell r="K89">
            <v>1456</v>
          </cell>
          <cell r="L89">
            <v>1456</v>
          </cell>
          <cell r="M89">
            <v>1456</v>
          </cell>
          <cell r="N89">
            <v>35125</v>
          </cell>
          <cell r="P89">
            <v>27845</v>
          </cell>
          <cell r="Q89">
            <v>7280</v>
          </cell>
          <cell r="R89">
            <v>35125</v>
          </cell>
        </row>
        <row r="90">
          <cell r="A90" t="str">
            <v>In-house Food Service - Cost of Food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Food Service - Paper and Smallwares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A92" t="str">
            <v>Medical Supplies</v>
          </cell>
          <cell r="B92">
            <v>0</v>
          </cell>
          <cell r="C92">
            <v>0</v>
          </cell>
          <cell r="D92">
            <v>0</v>
          </cell>
          <cell r="E92">
            <v>1201</v>
          </cell>
          <cell r="F92">
            <v>0</v>
          </cell>
          <cell r="G92">
            <v>196</v>
          </cell>
          <cell r="H92">
            <v>43</v>
          </cell>
          <cell r="I92">
            <v>204.75</v>
          </cell>
          <cell r="J92">
            <v>204.75</v>
          </cell>
          <cell r="K92">
            <v>204.75</v>
          </cell>
          <cell r="L92">
            <v>204.75</v>
          </cell>
          <cell r="M92">
            <v>204.75</v>
          </cell>
          <cell r="N92">
            <v>2463.75</v>
          </cell>
          <cell r="P92">
            <v>1440</v>
          </cell>
          <cell r="Q92">
            <v>1023.75</v>
          </cell>
          <cell r="R92">
            <v>2463.75</v>
          </cell>
        </row>
        <row r="93">
          <cell r="B93">
            <v>4177</v>
          </cell>
          <cell r="C93">
            <v>2610</v>
          </cell>
          <cell r="D93">
            <v>7476</v>
          </cell>
          <cell r="E93">
            <v>10494</v>
          </cell>
          <cell r="F93">
            <v>1500</v>
          </cell>
          <cell r="G93">
            <v>9104</v>
          </cell>
          <cell r="H93">
            <v>2372</v>
          </cell>
          <cell r="I93">
            <v>3345.25</v>
          </cell>
          <cell r="J93">
            <v>3345.25</v>
          </cell>
          <cell r="K93">
            <v>3345.25</v>
          </cell>
          <cell r="L93">
            <v>3345.25</v>
          </cell>
          <cell r="M93">
            <v>3345.25</v>
          </cell>
          <cell r="N93">
            <v>54459.25</v>
          </cell>
          <cell r="P93">
            <v>37733</v>
          </cell>
          <cell r="Q93">
            <v>16726.25</v>
          </cell>
          <cell r="R93">
            <v>54459.25</v>
          </cell>
        </row>
        <row r="95">
          <cell r="A95" t="str">
            <v>Instruction Expense</v>
          </cell>
        </row>
        <row r="96">
          <cell r="A96" t="str">
            <v>Textbooks</v>
          </cell>
          <cell r="B96">
            <v>0</v>
          </cell>
          <cell r="C96">
            <v>347</v>
          </cell>
          <cell r="D96">
            <v>0</v>
          </cell>
          <cell r="E96">
            <v>389</v>
          </cell>
          <cell r="F96">
            <v>0</v>
          </cell>
          <cell r="G96">
            <v>0</v>
          </cell>
          <cell r="H96">
            <v>501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1237</v>
          </cell>
          <cell r="P96">
            <v>1237</v>
          </cell>
          <cell r="Q96">
            <v>0</v>
          </cell>
          <cell r="R96">
            <v>1237</v>
          </cell>
        </row>
        <row r="97">
          <cell r="A97" t="str">
            <v>Library &amp; Reference Books</v>
          </cell>
          <cell r="B97">
            <v>1610</v>
          </cell>
          <cell r="C97">
            <v>0</v>
          </cell>
          <cell r="D97">
            <v>0</v>
          </cell>
          <cell r="E97">
            <v>132</v>
          </cell>
          <cell r="F97">
            <v>312</v>
          </cell>
          <cell r="G97">
            <v>333</v>
          </cell>
          <cell r="H97">
            <v>715</v>
          </cell>
          <cell r="I97">
            <v>156.97499999999999</v>
          </cell>
          <cell r="J97">
            <v>156.97499999999999</v>
          </cell>
          <cell r="K97">
            <v>156.97499999999999</v>
          </cell>
          <cell r="L97">
            <v>156.97499999999999</v>
          </cell>
          <cell r="M97">
            <v>156.97499999999999</v>
          </cell>
          <cell r="N97">
            <v>3886.875</v>
          </cell>
          <cell r="P97">
            <v>3102</v>
          </cell>
          <cell r="Q97">
            <v>784.875</v>
          </cell>
          <cell r="R97">
            <v>3886.875</v>
          </cell>
        </row>
        <row r="98">
          <cell r="A98" t="str">
            <v>Other Publications</v>
          </cell>
          <cell r="B98">
            <v>0</v>
          </cell>
          <cell r="C98">
            <v>54</v>
          </cell>
          <cell r="D98">
            <v>2391</v>
          </cell>
          <cell r="E98">
            <v>1541</v>
          </cell>
          <cell r="F98">
            <v>0</v>
          </cell>
          <cell r="G98">
            <v>238</v>
          </cell>
          <cell r="H98">
            <v>0</v>
          </cell>
          <cell r="I98">
            <v>91</v>
          </cell>
          <cell r="J98">
            <v>91</v>
          </cell>
          <cell r="K98">
            <v>91</v>
          </cell>
          <cell r="L98">
            <v>91</v>
          </cell>
          <cell r="M98">
            <v>91</v>
          </cell>
          <cell r="N98">
            <v>4679</v>
          </cell>
          <cell r="P98">
            <v>4224</v>
          </cell>
          <cell r="Q98">
            <v>455</v>
          </cell>
          <cell r="R98">
            <v>4679</v>
          </cell>
        </row>
        <row r="99">
          <cell r="A99" t="str">
            <v>Instructional Supplies</v>
          </cell>
          <cell r="B99">
            <v>122</v>
          </cell>
          <cell r="C99">
            <v>2107</v>
          </cell>
          <cell r="D99">
            <v>1944</v>
          </cell>
          <cell r="E99">
            <v>3834</v>
          </cell>
          <cell r="F99">
            <v>2475</v>
          </cell>
          <cell r="G99">
            <v>2484</v>
          </cell>
          <cell r="H99">
            <v>2043</v>
          </cell>
          <cell r="I99">
            <v>350</v>
          </cell>
          <cell r="J99">
            <v>350</v>
          </cell>
          <cell r="K99">
            <v>350</v>
          </cell>
          <cell r="L99">
            <v>350</v>
          </cell>
          <cell r="M99">
            <v>350</v>
          </cell>
          <cell r="N99">
            <v>16759</v>
          </cell>
          <cell r="P99">
            <v>15009</v>
          </cell>
          <cell r="Q99">
            <v>1750</v>
          </cell>
          <cell r="R99">
            <v>16759</v>
          </cell>
        </row>
        <row r="100">
          <cell r="A100" t="str">
            <v>Sporting Goods</v>
          </cell>
          <cell r="B100">
            <v>0</v>
          </cell>
          <cell r="C100">
            <v>0</v>
          </cell>
          <cell r="D100">
            <v>758</v>
          </cell>
          <cell r="E100">
            <v>0</v>
          </cell>
          <cell r="F100">
            <v>1198</v>
          </cell>
          <cell r="G100">
            <v>203</v>
          </cell>
          <cell r="H100">
            <v>0</v>
          </cell>
          <cell r="I100">
            <v>72.8</v>
          </cell>
          <cell r="J100">
            <v>72.8</v>
          </cell>
          <cell r="K100">
            <v>72.8</v>
          </cell>
          <cell r="L100">
            <v>72.8</v>
          </cell>
          <cell r="M100">
            <v>72.8</v>
          </cell>
          <cell r="N100">
            <v>2523</v>
          </cell>
          <cell r="P100">
            <v>2159</v>
          </cell>
          <cell r="Q100">
            <v>364</v>
          </cell>
          <cell r="R100">
            <v>2523</v>
          </cell>
        </row>
        <row r="101">
          <cell r="B101">
            <v>1732</v>
          </cell>
          <cell r="C101">
            <v>2508</v>
          </cell>
          <cell r="D101">
            <v>5093</v>
          </cell>
          <cell r="E101">
            <v>5896</v>
          </cell>
          <cell r="F101">
            <v>3985</v>
          </cell>
          <cell r="G101">
            <v>3258</v>
          </cell>
          <cell r="H101">
            <v>3259</v>
          </cell>
          <cell r="I101">
            <v>670.77499999999998</v>
          </cell>
          <cell r="J101">
            <v>670.77499999999998</v>
          </cell>
          <cell r="K101">
            <v>670.77499999999998</v>
          </cell>
          <cell r="L101">
            <v>670.77499999999998</v>
          </cell>
          <cell r="M101">
            <v>670.77499999999998</v>
          </cell>
          <cell r="N101">
            <v>29084.875</v>
          </cell>
          <cell r="P101">
            <v>25731</v>
          </cell>
          <cell r="Q101">
            <v>3353.875</v>
          </cell>
          <cell r="R101">
            <v>29084.875</v>
          </cell>
        </row>
        <row r="103">
          <cell r="A103" t="str">
            <v>Other Operating Expenses</v>
          </cell>
        </row>
        <row r="104">
          <cell r="A104" t="str">
            <v>Telephone</v>
          </cell>
          <cell r="B104">
            <v>1200</v>
          </cell>
          <cell r="C104">
            <v>1255</v>
          </cell>
          <cell r="D104">
            <v>2791</v>
          </cell>
          <cell r="E104">
            <v>1381</v>
          </cell>
          <cell r="F104">
            <v>1200</v>
          </cell>
          <cell r="G104">
            <v>770</v>
          </cell>
          <cell r="H104">
            <v>2614</v>
          </cell>
          <cell r="I104">
            <v>950</v>
          </cell>
          <cell r="J104">
            <v>950</v>
          </cell>
          <cell r="K104">
            <v>950</v>
          </cell>
          <cell r="L104">
            <v>950</v>
          </cell>
          <cell r="M104">
            <v>950</v>
          </cell>
          <cell r="N104">
            <v>15961</v>
          </cell>
          <cell r="P104">
            <v>11211</v>
          </cell>
          <cell r="Q104">
            <v>4750</v>
          </cell>
          <cell r="R104">
            <v>15961</v>
          </cell>
        </row>
        <row r="105">
          <cell r="A105" t="str">
            <v>Postage</v>
          </cell>
          <cell r="B105">
            <v>242</v>
          </cell>
          <cell r="C105">
            <v>142</v>
          </cell>
          <cell r="D105">
            <v>815</v>
          </cell>
          <cell r="E105">
            <v>439</v>
          </cell>
          <cell r="F105">
            <v>15</v>
          </cell>
          <cell r="G105">
            <v>0</v>
          </cell>
          <cell r="H105">
            <v>0</v>
          </cell>
          <cell r="I105">
            <v>273</v>
          </cell>
          <cell r="J105">
            <v>273</v>
          </cell>
          <cell r="K105">
            <v>273</v>
          </cell>
          <cell r="L105">
            <v>273</v>
          </cell>
          <cell r="M105">
            <v>273</v>
          </cell>
          <cell r="N105">
            <v>3018</v>
          </cell>
          <cell r="P105">
            <v>1653</v>
          </cell>
          <cell r="Q105">
            <v>1365</v>
          </cell>
          <cell r="R105">
            <v>3018</v>
          </cell>
        </row>
        <row r="106">
          <cell r="A106" t="str">
            <v>Express Mail</v>
          </cell>
          <cell r="B106">
            <v>71</v>
          </cell>
          <cell r="C106">
            <v>0</v>
          </cell>
          <cell r="D106">
            <v>130</v>
          </cell>
          <cell r="E106">
            <v>6</v>
          </cell>
          <cell r="F106">
            <v>0</v>
          </cell>
          <cell r="G106">
            <v>0</v>
          </cell>
          <cell r="H106">
            <v>52</v>
          </cell>
          <cell r="I106">
            <v>163.80000000000001</v>
          </cell>
          <cell r="J106">
            <v>163.80000000000001</v>
          </cell>
          <cell r="K106">
            <v>163.80000000000001</v>
          </cell>
          <cell r="L106">
            <v>163.80000000000001</v>
          </cell>
          <cell r="M106">
            <v>163.80000000000001</v>
          </cell>
          <cell r="N106">
            <v>1078</v>
          </cell>
          <cell r="P106">
            <v>259</v>
          </cell>
          <cell r="Q106">
            <v>819</v>
          </cell>
          <cell r="R106">
            <v>1078</v>
          </cell>
        </row>
        <row r="107">
          <cell r="A107" t="str">
            <v>Electricity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Gas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Water &amp; Sewer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Waste Disposal</v>
          </cell>
          <cell r="B110">
            <v>0</v>
          </cell>
          <cell r="C110">
            <v>115</v>
          </cell>
          <cell r="D110">
            <v>292</v>
          </cell>
          <cell r="E110">
            <v>226</v>
          </cell>
          <cell r="F110">
            <v>232</v>
          </cell>
          <cell r="G110">
            <v>235</v>
          </cell>
          <cell r="H110">
            <v>496</v>
          </cell>
          <cell r="I110">
            <v>226</v>
          </cell>
          <cell r="J110">
            <v>226</v>
          </cell>
          <cell r="K110">
            <v>226</v>
          </cell>
          <cell r="L110">
            <v>226</v>
          </cell>
          <cell r="M110">
            <v>226</v>
          </cell>
          <cell r="N110">
            <v>2726</v>
          </cell>
          <cell r="P110">
            <v>1596</v>
          </cell>
          <cell r="Q110">
            <v>1130</v>
          </cell>
          <cell r="R110">
            <v>2726</v>
          </cell>
        </row>
        <row r="111">
          <cell r="A111" t="str">
            <v>Security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74</v>
          </cell>
          <cell r="P111">
            <v>74</v>
          </cell>
          <cell r="Q111">
            <v>0</v>
          </cell>
          <cell r="R111">
            <v>74</v>
          </cell>
        </row>
        <row r="112">
          <cell r="A112" t="str">
            <v>Uniform &amp; Laundry Expenses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Maintenance Supplies</v>
          </cell>
          <cell r="B113">
            <v>0</v>
          </cell>
          <cell r="C113">
            <v>276</v>
          </cell>
          <cell r="D113">
            <v>115</v>
          </cell>
          <cell r="E113">
            <v>684</v>
          </cell>
          <cell r="F113">
            <v>0</v>
          </cell>
          <cell r="G113">
            <v>1066</v>
          </cell>
          <cell r="H113">
            <v>750</v>
          </cell>
          <cell r="I113">
            <v>450</v>
          </cell>
          <cell r="J113">
            <v>450</v>
          </cell>
          <cell r="K113">
            <v>450</v>
          </cell>
          <cell r="L113">
            <v>450</v>
          </cell>
          <cell r="M113">
            <v>450</v>
          </cell>
          <cell r="N113">
            <v>5141</v>
          </cell>
          <cell r="P113">
            <v>2891</v>
          </cell>
          <cell r="Q113">
            <v>2250</v>
          </cell>
          <cell r="R113">
            <v>5141</v>
          </cell>
        </row>
        <row r="114">
          <cell r="A114" t="str">
            <v>Building Repairs &amp; Maintenance</v>
          </cell>
          <cell r="B114">
            <v>0</v>
          </cell>
          <cell r="C114">
            <v>276</v>
          </cell>
          <cell r="D114">
            <v>923</v>
          </cell>
          <cell r="E114">
            <v>1443</v>
          </cell>
          <cell r="F114">
            <v>905</v>
          </cell>
          <cell r="G114">
            <v>-5</v>
          </cell>
          <cell r="H114">
            <v>96</v>
          </cell>
          <cell r="I114">
            <v>391.38249999999999</v>
          </cell>
          <cell r="J114">
            <v>391.38249999999999</v>
          </cell>
          <cell r="K114">
            <v>391.38249999999999</v>
          </cell>
          <cell r="L114">
            <v>391.38249999999999</v>
          </cell>
          <cell r="M114">
            <v>391.38249999999999</v>
          </cell>
          <cell r="N114">
            <v>5594.9125000000004</v>
          </cell>
          <cell r="P114">
            <v>3638</v>
          </cell>
          <cell r="Q114">
            <v>1956.9124999999999</v>
          </cell>
          <cell r="R114">
            <v>5594.9125000000004</v>
          </cell>
        </row>
        <row r="115">
          <cell r="A115" t="str">
            <v>Equipment Repairs &amp; Maintenance</v>
          </cell>
          <cell r="B115">
            <v>0</v>
          </cell>
          <cell r="C115">
            <v>617</v>
          </cell>
          <cell r="D115">
            <v>1040</v>
          </cell>
          <cell r="E115">
            <v>50</v>
          </cell>
          <cell r="F115">
            <v>1854</v>
          </cell>
          <cell r="G115">
            <v>200</v>
          </cell>
          <cell r="H115">
            <v>174</v>
          </cell>
          <cell r="I115">
            <v>682.5</v>
          </cell>
          <cell r="J115">
            <v>682.5</v>
          </cell>
          <cell r="K115">
            <v>682.5</v>
          </cell>
          <cell r="L115">
            <v>682.5</v>
          </cell>
          <cell r="M115">
            <v>682.5</v>
          </cell>
          <cell r="N115">
            <v>7347.5</v>
          </cell>
          <cell r="P115">
            <v>3935</v>
          </cell>
          <cell r="Q115">
            <v>3412.5</v>
          </cell>
          <cell r="R115">
            <v>7347.5</v>
          </cell>
        </row>
        <row r="116">
          <cell r="A116" t="str">
            <v>Computer Repairs &amp; Maintenance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40</v>
          </cell>
          <cell r="G116">
            <v>0</v>
          </cell>
          <cell r="H116">
            <v>799</v>
          </cell>
          <cell r="I116">
            <v>227.5</v>
          </cell>
          <cell r="J116">
            <v>227.5</v>
          </cell>
          <cell r="K116">
            <v>227.5</v>
          </cell>
          <cell r="L116">
            <v>227.5</v>
          </cell>
          <cell r="M116">
            <v>227.5</v>
          </cell>
          <cell r="N116">
            <v>1976.5</v>
          </cell>
          <cell r="P116">
            <v>839</v>
          </cell>
          <cell r="Q116">
            <v>1137.5</v>
          </cell>
          <cell r="R116">
            <v>1976.5</v>
          </cell>
        </row>
        <row r="117">
          <cell r="A117" t="str">
            <v>Miscellaneous Expenses</v>
          </cell>
          <cell r="B117">
            <v>0</v>
          </cell>
          <cell r="C117">
            <v>2077</v>
          </cell>
          <cell r="D117">
            <v>1185</v>
          </cell>
          <cell r="E117">
            <v>-261</v>
          </cell>
          <cell r="F117">
            <v>1327</v>
          </cell>
          <cell r="G117">
            <v>499</v>
          </cell>
          <cell r="H117">
            <v>305</v>
          </cell>
          <cell r="I117">
            <v>182</v>
          </cell>
          <cell r="J117">
            <v>182</v>
          </cell>
          <cell r="K117">
            <v>182</v>
          </cell>
          <cell r="L117">
            <v>182</v>
          </cell>
          <cell r="M117">
            <v>182</v>
          </cell>
          <cell r="N117">
            <v>6042</v>
          </cell>
          <cell r="P117">
            <v>5132</v>
          </cell>
          <cell r="Q117">
            <v>910</v>
          </cell>
          <cell r="R117">
            <v>6042</v>
          </cell>
        </row>
        <row r="118">
          <cell r="B118">
            <v>1513</v>
          </cell>
          <cell r="C118">
            <v>4758</v>
          </cell>
          <cell r="D118">
            <v>7291</v>
          </cell>
          <cell r="E118">
            <v>3968</v>
          </cell>
          <cell r="F118">
            <v>5573</v>
          </cell>
          <cell r="G118">
            <v>2839</v>
          </cell>
          <cell r="H118">
            <v>5286</v>
          </cell>
          <cell r="I118">
            <v>3546.1825000000003</v>
          </cell>
          <cell r="J118">
            <v>3546.1825000000003</v>
          </cell>
          <cell r="K118">
            <v>3546.1825000000003</v>
          </cell>
          <cell r="L118">
            <v>3546.1825000000003</v>
          </cell>
          <cell r="M118">
            <v>3546.1825000000003</v>
          </cell>
          <cell r="N118">
            <v>48958.912500000006</v>
          </cell>
          <cell r="P118">
            <v>31228</v>
          </cell>
          <cell r="Q118">
            <v>17730.912499999999</v>
          </cell>
          <cell r="R118">
            <v>48958.912499999999</v>
          </cell>
        </row>
        <row r="120">
          <cell r="A120" t="str">
            <v>Profit After Operating Expenses</v>
          </cell>
          <cell r="B120">
            <v>165740</v>
          </cell>
          <cell r="C120">
            <v>83279</v>
          </cell>
          <cell r="D120">
            <v>-97319</v>
          </cell>
          <cell r="E120">
            <v>-25686</v>
          </cell>
          <cell r="F120">
            <v>-10355.340000000026</v>
          </cell>
          <cell r="G120">
            <v>-36558.840000000026</v>
          </cell>
          <cell r="H120">
            <v>-63085</v>
          </cell>
          <cell r="I120">
            <v>-3348.0476733332907</v>
          </cell>
          <cell r="J120">
            <v>-8324.5537533333118</v>
          </cell>
          <cell r="K120">
            <v>2908.4584066667303</v>
          </cell>
          <cell r="L120">
            <v>-18126.898633333272</v>
          </cell>
          <cell r="M120">
            <v>2190.7876866667357</v>
          </cell>
          <cell r="N120">
            <v>-8685.43396666646</v>
          </cell>
          <cell r="P120">
            <v>16014.819999999832</v>
          </cell>
          <cell r="Q120">
            <v>-24700.253966666547</v>
          </cell>
          <cell r="R120">
            <v>-8685.4339666668311</v>
          </cell>
        </row>
        <row r="122">
          <cell r="A122" t="str">
            <v>Fixed Expense</v>
          </cell>
        </row>
        <row r="123">
          <cell r="A123" t="str">
            <v>Rent Expense</v>
          </cell>
          <cell r="B123">
            <v>39367.777777777781</v>
          </cell>
          <cell r="C123">
            <v>39367.777777777781</v>
          </cell>
          <cell r="D123">
            <v>39367.777777777781</v>
          </cell>
          <cell r="E123">
            <v>44063</v>
          </cell>
          <cell r="F123">
            <v>39367.777777777781</v>
          </cell>
          <cell r="G123">
            <v>34673</v>
          </cell>
          <cell r="H123">
            <v>39368</v>
          </cell>
          <cell r="I123">
            <v>39367.777777777781</v>
          </cell>
          <cell r="J123">
            <v>39367.777777777781</v>
          </cell>
          <cell r="K123">
            <v>39367.777777777781</v>
          </cell>
          <cell r="L123">
            <v>39367.777777777781</v>
          </cell>
          <cell r="M123">
            <v>39367.777777777781</v>
          </cell>
          <cell r="N123">
            <v>472413.99999999988</v>
          </cell>
          <cell r="P123">
            <v>275575.11111111112</v>
          </cell>
          <cell r="Q123">
            <v>196838.88888888891</v>
          </cell>
          <cell r="R123">
            <v>472414</v>
          </cell>
        </row>
        <row r="124">
          <cell r="A124" t="str">
            <v>CAM, TMI &amp; Merchant Assoc. Dues</v>
          </cell>
          <cell r="B124">
            <v>17499.937499999996</v>
          </cell>
          <cell r="C124">
            <v>17499.937499999996</v>
          </cell>
          <cell r="D124">
            <v>34065</v>
          </cell>
          <cell r="E124">
            <v>26217</v>
          </cell>
          <cell r="F124">
            <v>26217</v>
          </cell>
          <cell r="G124">
            <v>9587</v>
          </cell>
          <cell r="H124">
            <v>0</v>
          </cell>
          <cell r="I124">
            <v>26218</v>
          </cell>
          <cell r="J124">
            <v>26218</v>
          </cell>
          <cell r="K124">
            <v>26218</v>
          </cell>
          <cell r="L124">
            <v>26218</v>
          </cell>
          <cell r="M124">
            <v>26218</v>
          </cell>
          <cell r="N124">
            <v>262175.875</v>
          </cell>
          <cell r="P124">
            <v>131085.875</v>
          </cell>
          <cell r="Q124">
            <v>131090</v>
          </cell>
          <cell r="R124">
            <v>262175.875</v>
          </cell>
        </row>
        <row r="125">
          <cell r="A125" t="str">
            <v>Property &amp; Rent Taxes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Leasing Expense</v>
          </cell>
          <cell r="B126">
            <v>10085</v>
          </cell>
          <cell r="C126">
            <v>10085</v>
          </cell>
          <cell r="D126">
            <v>11446</v>
          </cell>
          <cell r="E126">
            <v>10685</v>
          </cell>
          <cell r="F126">
            <v>10385</v>
          </cell>
          <cell r="G126">
            <v>13409</v>
          </cell>
          <cell r="H126">
            <v>6643</v>
          </cell>
          <cell r="I126">
            <v>10777.64</v>
          </cell>
          <cell r="J126">
            <v>10777.64</v>
          </cell>
          <cell r="K126">
            <v>10777.64</v>
          </cell>
          <cell r="L126">
            <v>10777.64</v>
          </cell>
          <cell r="M126">
            <v>10777.64</v>
          </cell>
          <cell r="N126">
            <v>126626.2</v>
          </cell>
          <cell r="P126">
            <v>72738</v>
          </cell>
          <cell r="Q126">
            <v>53888.2</v>
          </cell>
          <cell r="R126">
            <v>126626.2</v>
          </cell>
        </row>
        <row r="127">
          <cell r="A127" t="str">
            <v>Property &amp; Prof. Liab Insurance</v>
          </cell>
          <cell r="B127">
            <v>1333</v>
          </cell>
          <cell r="C127">
            <v>1333</v>
          </cell>
          <cell r="D127">
            <v>1333</v>
          </cell>
          <cell r="E127">
            <v>-1903</v>
          </cell>
          <cell r="F127">
            <v>524</v>
          </cell>
          <cell r="G127">
            <v>522</v>
          </cell>
          <cell r="H127">
            <v>524</v>
          </cell>
          <cell r="I127">
            <v>1400</v>
          </cell>
          <cell r="J127">
            <v>1400</v>
          </cell>
          <cell r="K127">
            <v>1400</v>
          </cell>
          <cell r="L127">
            <v>1400</v>
          </cell>
          <cell r="M127">
            <v>1400</v>
          </cell>
          <cell r="N127">
            <v>10666</v>
          </cell>
          <cell r="P127">
            <v>3666</v>
          </cell>
          <cell r="Q127">
            <v>7000</v>
          </cell>
          <cell r="R127">
            <v>10666</v>
          </cell>
        </row>
        <row r="128">
          <cell r="A128" t="str">
            <v>Interest Expense / (Income)</v>
          </cell>
          <cell r="B128">
            <v>476.12097754913333</v>
          </cell>
          <cell r="C128">
            <v>476</v>
          </cell>
          <cell r="D128">
            <v>1652</v>
          </cell>
          <cell r="E128">
            <v>476</v>
          </cell>
          <cell r="F128">
            <v>623</v>
          </cell>
          <cell r="G128">
            <v>471</v>
          </cell>
          <cell r="H128">
            <v>470</v>
          </cell>
          <cell r="I128">
            <v>469</v>
          </cell>
          <cell r="J128">
            <v>468</v>
          </cell>
          <cell r="K128">
            <v>466</v>
          </cell>
          <cell r="L128">
            <v>465</v>
          </cell>
          <cell r="M128">
            <v>464</v>
          </cell>
          <cell r="N128">
            <v>6976.1209775491334</v>
          </cell>
          <cell r="P128">
            <v>4644.1209775491334</v>
          </cell>
          <cell r="Q128">
            <v>2332</v>
          </cell>
          <cell r="R128">
            <v>6976.1209775491334</v>
          </cell>
        </row>
        <row r="129">
          <cell r="A129" t="str">
            <v>Depreciation</v>
          </cell>
          <cell r="B129">
            <v>362</v>
          </cell>
          <cell r="C129">
            <v>362</v>
          </cell>
          <cell r="D129">
            <v>2309</v>
          </cell>
          <cell r="E129">
            <v>362</v>
          </cell>
          <cell r="F129">
            <v>4063</v>
          </cell>
          <cell r="G129">
            <v>4702</v>
          </cell>
          <cell r="H129">
            <v>3924</v>
          </cell>
          <cell r="I129">
            <v>8000</v>
          </cell>
          <cell r="J129">
            <v>8000</v>
          </cell>
          <cell r="K129">
            <v>8000</v>
          </cell>
          <cell r="L129">
            <v>8000</v>
          </cell>
          <cell r="M129">
            <v>8000</v>
          </cell>
          <cell r="N129">
            <v>56084</v>
          </cell>
          <cell r="P129">
            <v>16084</v>
          </cell>
          <cell r="Q129">
            <v>40000</v>
          </cell>
          <cell r="R129">
            <v>56084</v>
          </cell>
        </row>
        <row r="130">
          <cell r="A130" t="str">
            <v>Amortization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69123.836255326911</v>
          </cell>
          <cell r="C131">
            <v>69123.715277777781</v>
          </cell>
          <cell r="D131">
            <v>90172.777777777781</v>
          </cell>
          <cell r="E131">
            <v>79900</v>
          </cell>
          <cell r="F131">
            <v>81179.777777777781</v>
          </cell>
          <cell r="G131">
            <v>63364</v>
          </cell>
          <cell r="H131">
            <v>50929</v>
          </cell>
          <cell r="I131">
            <v>86232.41777777778</v>
          </cell>
          <cell r="J131">
            <v>86231.41777777778</v>
          </cell>
          <cell r="K131">
            <v>86229.41777777778</v>
          </cell>
          <cell r="L131">
            <v>86228.41777777778</v>
          </cell>
          <cell r="M131">
            <v>86227.41777777778</v>
          </cell>
          <cell r="N131">
            <v>934942.19597754907</v>
          </cell>
          <cell r="P131">
            <v>503793.10708866024</v>
          </cell>
          <cell r="Q131">
            <v>431149.08888888889</v>
          </cell>
          <cell r="R131">
            <v>934942.19597754907</v>
          </cell>
        </row>
        <row r="133">
          <cell r="A133" t="str">
            <v>Profit before Taxes</v>
          </cell>
          <cell r="B133">
            <v>96616.163744673089</v>
          </cell>
          <cell r="C133">
            <v>14155.284722222219</v>
          </cell>
          <cell r="D133">
            <v>-187491.77777777778</v>
          </cell>
          <cell r="E133">
            <v>-105586</v>
          </cell>
          <cell r="F133">
            <v>-91535.117777777807</v>
          </cell>
          <cell r="G133">
            <v>-99922.840000000026</v>
          </cell>
          <cell r="H133">
            <v>-114014</v>
          </cell>
          <cell r="I133">
            <v>-89580.465451111071</v>
          </cell>
          <cell r="J133">
            <v>-94555.971531111092</v>
          </cell>
          <cell r="K133">
            <v>-83320.95937111105</v>
          </cell>
          <cell r="L133">
            <v>-104355.31641111105</v>
          </cell>
          <cell r="M133">
            <v>-84036.630091111045</v>
          </cell>
          <cell r="N133">
            <v>-943627.62994421553</v>
          </cell>
          <cell r="P133">
            <v>-487778.28708866041</v>
          </cell>
          <cell r="Q133">
            <v>-455849.34285555541</v>
          </cell>
          <cell r="R133">
            <v>-943627.62994421588</v>
          </cell>
        </row>
        <row r="135">
          <cell r="A135" t="str">
            <v>Other Income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-97</v>
          </cell>
          <cell r="H135">
            <v>-811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-908</v>
          </cell>
          <cell r="P135">
            <v>-908</v>
          </cell>
          <cell r="Q135">
            <v>0</v>
          </cell>
          <cell r="R135">
            <v>-908</v>
          </cell>
        </row>
        <row r="137">
          <cell r="A137" t="str">
            <v>Net Income/(Loss)</v>
          </cell>
          <cell r="B137">
            <v>96616.163744673089</v>
          </cell>
          <cell r="C137">
            <v>14155.284722222219</v>
          </cell>
          <cell r="D137">
            <v>-187491.77777777778</v>
          </cell>
          <cell r="E137">
            <v>-105586</v>
          </cell>
          <cell r="F137">
            <v>-91535.117777777807</v>
          </cell>
          <cell r="G137">
            <v>-99825.840000000026</v>
          </cell>
          <cell r="H137">
            <v>-113203</v>
          </cell>
          <cell r="I137">
            <v>-89580.465451111071</v>
          </cell>
          <cell r="J137">
            <v>-94555.971531111092</v>
          </cell>
          <cell r="K137">
            <v>-83320.95937111105</v>
          </cell>
          <cell r="L137">
            <v>-104355.31641111105</v>
          </cell>
          <cell r="M137">
            <v>-84036.630091111045</v>
          </cell>
          <cell r="N137">
            <v>-942719.62994421553</v>
          </cell>
          <cell r="P137">
            <v>-486870.28708866041</v>
          </cell>
          <cell r="Q137">
            <v>-455849.34285555541</v>
          </cell>
          <cell r="R137">
            <v>-942719.62994421588</v>
          </cell>
        </row>
        <row r="139">
          <cell r="A139" t="str">
            <v>Add back ASI Management Fee</v>
          </cell>
          <cell r="B139">
            <v>58283</v>
          </cell>
          <cell r="C139">
            <v>63568</v>
          </cell>
          <cell r="D139">
            <v>83551</v>
          </cell>
          <cell r="E139">
            <v>73313</v>
          </cell>
          <cell r="F139">
            <v>71865</v>
          </cell>
          <cell r="G139">
            <v>74859</v>
          </cell>
          <cell r="H139">
            <v>73875</v>
          </cell>
          <cell r="I139">
            <v>74690.07084</v>
          </cell>
          <cell r="J139">
            <v>75339.799920000005</v>
          </cell>
          <cell r="K139">
            <v>75140.34176000001</v>
          </cell>
          <cell r="L139">
            <v>74906.642800000001</v>
          </cell>
          <cell r="M139">
            <v>79973.494480000008</v>
          </cell>
          <cell r="N139">
            <v>879364.34979999997</v>
          </cell>
          <cell r="P139">
            <v>499314</v>
          </cell>
          <cell r="Q139">
            <v>380050.34980000003</v>
          </cell>
          <cell r="R139">
            <v>879364.34979999997</v>
          </cell>
        </row>
        <row r="141">
          <cell r="A141" t="str">
            <v>Net Income Before ASI Fee</v>
          </cell>
          <cell r="B141">
            <v>154899.16374467307</v>
          </cell>
          <cell r="C141">
            <v>77723.284722222219</v>
          </cell>
          <cell r="D141">
            <v>-103940.77777777778</v>
          </cell>
          <cell r="E141">
            <v>-32273</v>
          </cell>
          <cell r="F141">
            <v>-19670.117777777807</v>
          </cell>
          <cell r="G141">
            <v>-24966.840000000026</v>
          </cell>
          <cell r="H141">
            <v>-39328</v>
          </cell>
          <cell r="I141">
            <v>-14890.394611111071</v>
          </cell>
          <cell r="J141">
            <v>-19216.171611111087</v>
          </cell>
          <cell r="K141">
            <v>-8180.6176111110399</v>
          </cell>
          <cell r="L141">
            <v>-29448.673611111051</v>
          </cell>
          <cell r="M141">
            <v>-4063.1356111110363</v>
          </cell>
          <cell r="N141">
            <v>-63355.280144215591</v>
          </cell>
          <cell r="P141">
            <v>12443.712911339593</v>
          </cell>
          <cell r="Q141">
            <v>-75798.993055555387</v>
          </cell>
          <cell r="R141">
            <v>-63355.280144215911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42"/>
  <sheetViews>
    <sheetView tabSelected="1" topLeftCell="B1" zoomScaleNormal="100" workbookViewId="0">
      <selection activeCell="B1" sqref="B1"/>
    </sheetView>
  </sheetViews>
  <sheetFormatPr defaultColWidth="9.140625" defaultRowHeight="12.75" x14ac:dyDescent="0.2"/>
  <cols>
    <col min="1" max="1" width="6.140625" style="19" hidden="1" customWidth="1"/>
    <col min="2" max="2" width="4" style="4" customWidth="1"/>
    <col min="3" max="4" width="5" style="4" customWidth="1"/>
    <col min="5" max="5" width="4" style="4" bestFit="1" customWidth="1"/>
    <col min="6" max="6" width="40.7109375" style="1" customWidth="1"/>
    <col min="7" max="7" width="13.42578125" style="25" customWidth="1"/>
    <col min="8" max="9" width="13.42578125" style="25" hidden="1" customWidth="1"/>
    <col min="10" max="11" width="9.140625" style="1" hidden="1" customWidth="1"/>
    <col min="12" max="12" width="11.85546875" style="1" hidden="1" customWidth="1"/>
    <col min="13" max="13" width="10.7109375" style="1" hidden="1" customWidth="1"/>
    <col min="14" max="15" width="10.140625" style="1" hidden="1" customWidth="1"/>
    <col min="16" max="16" width="9.140625" style="1" hidden="1" customWidth="1"/>
    <col min="17" max="18" width="10.5703125" style="1" hidden="1" customWidth="1"/>
    <col min="19" max="20" width="9.140625" style="1" customWidth="1"/>
    <col min="21" max="16384" width="9.140625" style="1"/>
  </cols>
  <sheetData>
    <row r="1" spans="1:16" x14ac:dyDescent="0.2">
      <c r="B1" s="97" t="s">
        <v>62</v>
      </c>
      <c r="C1" s="61"/>
      <c r="D1" s="61"/>
      <c r="E1" s="61"/>
      <c r="F1" s="61"/>
      <c r="G1" s="61"/>
      <c r="H1" s="61"/>
      <c r="I1" s="61"/>
      <c r="J1" s="1" t="s">
        <v>71</v>
      </c>
    </row>
    <row r="2" spans="1:16" s="2" customFormat="1" x14ac:dyDescent="0.2">
      <c r="A2" s="19"/>
      <c r="B2" s="61" t="s">
        <v>138</v>
      </c>
      <c r="C2" s="61"/>
      <c r="D2" s="61"/>
      <c r="E2" s="61"/>
      <c r="F2" s="61"/>
      <c r="G2" s="61"/>
      <c r="H2" s="61"/>
      <c r="I2" s="61"/>
      <c r="J2" s="1" t="s">
        <v>71</v>
      </c>
      <c r="K2" s="1"/>
      <c r="L2" s="1"/>
    </row>
    <row r="3" spans="1:16" s="2" customFormat="1" x14ac:dyDescent="0.2">
      <c r="A3" s="19"/>
      <c r="B3" s="61" t="s">
        <v>12</v>
      </c>
      <c r="C3" s="61"/>
      <c r="D3" s="61"/>
      <c r="E3" s="61"/>
      <c r="F3" s="61"/>
      <c r="G3" s="61"/>
      <c r="H3" s="61"/>
      <c r="I3" s="61"/>
      <c r="J3" s="1" t="s">
        <v>71</v>
      </c>
      <c r="K3" s="1"/>
      <c r="L3" s="1"/>
    </row>
    <row r="4" spans="1:16" s="2" customFormat="1" x14ac:dyDescent="0.2">
      <c r="A4" s="19"/>
      <c r="B4" s="61" t="s">
        <v>46</v>
      </c>
      <c r="C4" s="61"/>
      <c r="D4" s="61"/>
      <c r="E4" s="61"/>
      <c r="F4" s="61"/>
      <c r="G4" s="61"/>
      <c r="H4" s="61"/>
      <c r="I4" s="61"/>
      <c r="J4" s="1" t="s">
        <v>71</v>
      </c>
      <c r="K4" s="1"/>
      <c r="L4" s="1"/>
    </row>
    <row r="5" spans="1:16" s="2" customFormat="1" x14ac:dyDescent="0.2">
      <c r="A5" s="19"/>
      <c r="B5" s="62" t="s">
        <v>174</v>
      </c>
      <c r="C5" s="62"/>
      <c r="D5" s="62"/>
      <c r="E5" s="62"/>
      <c r="F5" s="62"/>
      <c r="G5" s="62"/>
      <c r="H5" s="62"/>
      <c r="I5" s="62"/>
      <c r="J5" s="1" t="s">
        <v>71</v>
      </c>
      <c r="K5" s="1"/>
      <c r="L5" s="1"/>
    </row>
    <row r="6" spans="1:16" s="2" customFormat="1" x14ac:dyDescent="0.2">
      <c r="A6" s="19"/>
      <c r="B6" s="3"/>
      <c r="C6" s="3"/>
      <c r="D6" s="3"/>
      <c r="E6" s="3"/>
      <c r="F6" s="3"/>
      <c r="G6" s="22"/>
      <c r="H6" s="22"/>
      <c r="I6" s="22"/>
      <c r="J6" s="1" t="s">
        <v>71</v>
      </c>
      <c r="K6" s="1"/>
      <c r="L6" s="1"/>
    </row>
    <row r="7" spans="1:16" s="7" customFormat="1" x14ac:dyDescent="0.2">
      <c r="A7" s="20"/>
      <c r="B7" s="5" t="s">
        <v>172</v>
      </c>
      <c r="C7" s="5"/>
      <c r="D7" s="5"/>
      <c r="E7" s="5"/>
      <c r="F7" s="5"/>
      <c r="G7" s="6">
        <f>+EnrNew</f>
        <v>380</v>
      </c>
      <c r="H7" s="6">
        <v>175</v>
      </c>
      <c r="I7" s="6">
        <v>185</v>
      </c>
      <c r="J7" s="1" t="s">
        <v>71</v>
      </c>
      <c r="K7" s="1"/>
      <c r="L7" s="1"/>
    </row>
    <row r="8" spans="1:16" s="7" customFormat="1" ht="12.75" hidden="1" customHeight="1" x14ac:dyDescent="0.2">
      <c r="A8" s="20"/>
      <c r="B8" s="8"/>
      <c r="C8" s="8"/>
      <c r="D8" s="8"/>
      <c r="E8" s="8"/>
      <c r="G8" s="23"/>
      <c r="H8" s="23"/>
      <c r="I8" s="23"/>
      <c r="J8" s="1"/>
      <c r="K8" s="1"/>
      <c r="L8" s="1"/>
    </row>
    <row r="9" spans="1:16" s="7" customFormat="1" ht="12.75" hidden="1" customHeight="1" x14ac:dyDescent="0.2">
      <c r="A9" s="20"/>
      <c r="B9" s="5" t="s">
        <v>47</v>
      </c>
      <c r="C9" s="5"/>
      <c r="D9" s="5"/>
      <c r="E9" s="5"/>
      <c r="F9" s="6" t="s">
        <v>48</v>
      </c>
      <c r="G9" s="5"/>
      <c r="H9" s="5"/>
      <c r="I9" s="5"/>
    </row>
    <row r="10" spans="1:16" ht="12.75" customHeight="1" x14ac:dyDescent="0.2">
      <c r="G10" s="23"/>
      <c r="H10" s="23"/>
      <c r="I10" s="23"/>
      <c r="J10" s="7" t="s">
        <v>71</v>
      </c>
      <c r="K10" s="7"/>
      <c r="L10" s="7"/>
    </row>
    <row r="11" spans="1:16" x14ac:dyDescent="0.2">
      <c r="F11" s="9" t="s">
        <v>30</v>
      </c>
      <c r="G11" s="24"/>
      <c r="H11" s="24"/>
      <c r="I11" s="24"/>
      <c r="J11" s="1" t="s">
        <v>71</v>
      </c>
    </row>
    <row r="12" spans="1:16" ht="12" customHeight="1" x14ac:dyDescent="0.2">
      <c r="F12" s="11"/>
      <c r="G12" s="24"/>
      <c r="H12" s="24"/>
      <c r="I12" s="24"/>
      <c r="J12" s="1" t="s">
        <v>71</v>
      </c>
      <c r="L12" s="19" t="s">
        <v>137</v>
      </c>
      <c r="M12" s="19" t="s">
        <v>161</v>
      </c>
      <c r="N12" s="19" t="s">
        <v>134</v>
      </c>
      <c r="O12" s="19" t="s">
        <v>135</v>
      </c>
      <c r="P12" s="19"/>
    </row>
    <row r="13" spans="1:16" x14ac:dyDescent="0.2">
      <c r="B13" s="84">
        <f>+'Revenue Input'!B10</f>
        <v>100</v>
      </c>
      <c r="C13" s="84">
        <f>+'Revenue Input'!C10</f>
        <v>3300</v>
      </c>
      <c r="D13" s="73">
        <f>+'Revenue Input'!D10</f>
        <v>0</v>
      </c>
      <c r="E13" s="74">
        <f>+'Revenue Input'!E10</f>
        <v>0</v>
      </c>
      <c r="F13" s="84" t="str">
        <f>+'Revenue Input'!F10</f>
        <v>FEFP - Pinellas Cty Sch Dist</v>
      </c>
      <c r="G13" s="60">
        <f>+'Revenue Input'!J10</f>
        <v>2324082.4837946733</v>
      </c>
      <c r="H13" s="60">
        <f>+'Revenue Input'!J43</f>
        <v>2364528.3637000695</v>
      </c>
      <c r="I13" s="60">
        <f>+'Revenue Input'!J44</f>
        <v>118226.41818500348</v>
      </c>
      <c r="J13" s="1" t="str">
        <f>IF(G13&gt;0.49,"*","")</f>
        <v>*</v>
      </c>
      <c r="M13" s="60">
        <f t="shared" ref="M13:M44" si="0">IF(B13=490,G13,0)</f>
        <v>0</v>
      </c>
      <c r="N13" s="60">
        <f t="shared" ref="N13:N44" si="1">IF(B13=432,G13,0)</f>
        <v>0</v>
      </c>
      <c r="O13" s="60">
        <f t="shared" ref="O13:O44" si="2">IF(B13=410,G13,0)</f>
        <v>0</v>
      </c>
    </row>
    <row r="14" spans="1:16" hidden="1" x14ac:dyDescent="0.2">
      <c r="B14" s="84">
        <f>+'Revenue Input'!B11</f>
        <v>100</v>
      </c>
      <c r="C14" s="84">
        <f>+'Revenue Input'!C11</f>
        <v>3301</v>
      </c>
      <c r="D14" s="73">
        <f>+'Revenue Input'!D11</f>
        <v>0</v>
      </c>
      <c r="E14" s="74">
        <f>+'Revenue Input'!E11</f>
        <v>0</v>
      </c>
      <c r="F14" s="84" t="str">
        <f>+'Revenue Input'!F11</f>
        <v>FEFP - Prior Year Adjustment</v>
      </c>
      <c r="G14" s="60">
        <f>+'Revenue Input'!J11</f>
        <v>0</v>
      </c>
      <c r="H14" s="60">
        <f>+G14</f>
        <v>0</v>
      </c>
      <c r="I14" s="60">
        <f>+G14</f>
        <v>0</v>
      </c>
      <c r="J14" s="1" t="str">
        <f t="shared" ref="J14:J39" si="3">IF(G14&gt;0.49,"*","")</f>
        <v/>
      </c>
      <c r="M14" s="60">
        <f>IF(B14=490,G14,0)</f>
        <v>0</v>
      </c>
      <c r="N14" s="60">
        <f>IF(B14=432,G14,0)</f>
        <v>0</v>
      </c>
      <c r="O14" s="60">
        <f>IF(B14=410,G14,0)</f>
        <v>0</v>
      </c>
    </row>
    <row r="15" spans="1:16" x14ac:dyDescent="0.2">
      <c r="B15" s="84">
        <f>+'Revenue Input'!B12</f>
        <v>100</v>
      </c>
      <c r="C15" s="84">
        <f>+'Revenue Input'!C12</f>
        <v>3305</v>
      </c>
      <c r="D15" s="73">
        <f>+'Revenue Input'!D12</f>
        <v>0</v>
      </c>
      <c r="E15" s="74">
        <f>+'Revenue Input'!E12</f>
        <v>0</v>
      </c>
      <c r="F15" s="84" t="str">
        <f>+'Revenue Input'!F12</f>
        <v>FEFP Restricted to Capital Outlay</v>
      </c>
      <c r="G15" s="60">
        <f>+'Revenue Input'!J12</f>
        <v>40445.879905395923</v>
      </c>
      <c r="H15" s="60">
        <f t="shared" ref="H15:H63" si="4">+G15</f>
        <v>40445.879905395923</v>
      </c>
      <c r="I15" s="60">
        <f t="shared" ref="I15:I63" si="5">+G15</f>
        <v>40445.879905395923</v>
      </c>
      <c r="J15" s="1" t="str">
        <f t="shared" si="3"/>
        <v>*</v>
      </c>
      <c r="M15" s="60">
        <f t="shared" si="0"/>
        <v>0</v>
      </c>
      <c r="N15" s="60">
        <f t="shared" si="1"/>
        <v>0</v>
      </c>
      <c r="O15" s="60">
        <f t="shared" si="2"/>
        <v>0</v>
      </c>
    </row>
    <row r="16" spans="1:16" x14ac:dyDescent="0.2">
      <c r="B16" s="84">
        <f>+'Revenue Input'!B13</f>
        <v>100</v>
      </c>
      <c r="C16" s="84">
        <f>+'Revenue Input'!C13</f>
        <v>3334</v>
      </c>
      <c r="D16" s="73">
        <f>+'Revenue Input'!D13</f>
        <v>0</v>
      </c>
      <c r="E16" s="74">
        <f>+'Revenue Input'!E13</f>
        <v>0</v>
      </c>
      <c r="F16" s="84" t="str">
        <f>+'Revenue Input'!F13</f>
        <v>Florida Teacher Lead Program</v>
      </c>
      <c r="G16" s="60">
        <f>+'Revenue Input'!J13</f>
        <v>3262.0882971268393</v>
      </c>
      <c r="H16" s="60">
        <f t="shared" si="4"/>
        <v>3262.0882971268393</v>
      </c>
      <c r="I16" s="60">
        <f t="shared" si="5"/>
        <v>3262.0882971268393</v>
      </c>
      <c r="J16" s="1" t="str">
        <f t="shared" si="3"/>
        <v>*</v>
      </c>
      <c r="M16" s="60">
        <f t="shared" si="0"/>
        <v>0</v>
      </c>
      <c r="N16" s="60">
        <f t="shared" si="1"/>
        <v>0</v>
      </c>
      <c r="O16" s="60">
        <f t="shared" si="2"/>
        <v>0</v>
      </c>
    </row>
    <row r="17" spans="2:15" x14ac:dyDescent="0.2">
      <c r="B17" s="84">
        <f>+'Revenue Input'!B14</f>
        <v>100</v>
      </c>
      <c r="C17" s="84">
        <f>+'Revenue Input'!C14</f>
        <v>3397</v>
      </c>
      <c r="D17" s="73">
        <f>+'Revenue Input'!D14</f>
        <v>0</v>
      </c>
      <c r="E17" s="74">
        <f>+'Revenue Input'!E14</f>
        <v>0</v>
      </c>
      <c r="F17" s="84" t="str">
        <f>+'Revenue Input'!F14</f>
        <v>Charter School Capital Outlay</v>
      </c>
      <c r="G17" s="60">
        <f>+'Revenue Input'!J14</f>
        <v>71943.349734708201</v>
      </c>
      <c r="H17" s="60">
        <f t="shared" si="4"/>
        <v>71943.349734708201</v>
      </c>
      <c r="I17" s="60">
        <f t="shared" si="5"/>
        <v>71943.349734708201</v>
      </c>
      <c r="J17" s="1" t="str">
        <f t="shared" si="3"/>
        <v>*</v>
      </c>
      <c r="M17" s="60">
        <f t="shared" si="0"/>
        <v>0</v>
      </c>
      <c r="N17" s="60">
        <f t="shared" si="1"/>
        <v>0</v>
      </c>
      <c r="O17" s="60">
        <f t="shared" si="2"/>
        <v>0</v>
      </c>
    </row>
    <row r="18" spans="2:15" x14ac:dyDescent="0.2">
      <c r="B18" s="84">
        <f>+'Revenue Input'!B15</f>
        <v>100</v>
      </c>
      <c r="C18" s="84">
        <f>+'Revenue Input'!C15</f>
        <v>3473</v>
      </c>
      <c r="D18" s="73">
        <f>+'Revenue Input'!D15</f>
        <v>0</v>
      </c>
      <c r="E18" s="74">
        <f>+'Revenue Input'!E15</f>
        <v>0</v>
      </c>
      <c r="F18" s="84" t="str">
        <f>+'Revenue Input'!F15</f>
        <v>Miscellaneous</v>
      </c>
      <c r="G18" s="60">
        <f>+'Revenue Input'!J15</f>
        <v>1303.7891680848934</v>
      </c>
      <c r="H18" s="60">
        <f t="shared" si="4"/>
        <v>1303.7891680848934</v>
      </c>
      <c r="I18" s="60">
        <f t="shared" si="5"/>
        <v>1303.7891680848934</v>
      </c>
      <c r="J18" s="1" t="str">
        <f t="shared" si="3"/>
        <v>*</v>
      </c>
      <c r="M18" s="60">
        <f t="shared" si="0"/>
        <v>0</v>
      </c>
      <c r="N18" s="60">
        <f t="shared" si="1"/>
        <v>0</v>
      </c>
      <c r="O18" s="60">
        <f t="shared" si="2"/>
        <v>0</v>
      </c>
    </row>
    <row r="19" spans="2:15" hidden="1" x14ac:dyDescent="0.2">
      <c r="B19" s="84"/>
      <c r="C19" s="84"/>
      <c r="D19" s="73"/>
      <c r="E19" s="74"/>
      <c r="F19" s="84"/>
      <c r="G19" s="60"/>
      <c r="H19" s="60">
        <f t="shared" si="4"/>
        <v>0</v>
      </c>
      <c r="I19" s="60">
        <f t="shared" si="5"/>
        <v>0</v>
      </c>
      <c r="J19" s="1" t="str">
        <f t="shared" si="3"/>
        <v/>
      </c>
      <c r="M19" s="60">
        <f t="shared" si="0"/>
        <v>0</v>
      </c>
      <c r="N19" s="60">
        <f t="shared" si="1"/>
        <v>0</v>
      </c>
      <c r="O19" s="60">
        <f t="shared" si="2"/>
        <v>0</v>
      </c>
    </row>
    <row r="20" spans="2:15" hidden="1" x14ac:dyDescent="0.2">
      <c r="B20" s="84"/>
      <c r="C20" s="84"/>
      <c r="D20" s="73"/>
      <c r="E20" s="74"/>
      <c r="F20" s="84"/>
      <c r="G20" s="60"/>
      <c r="H20" s="60">
        <f t="shared" si="4"/>
        <v>0</v>
      </c>
      <c r="I20" s="60">
        <f t="shared" si="5"/>
        <v>0</v>
      </c>
      <c r="J20" s="1" t="str">
        <f t="shared" si="3"/>
        <v/>
      </c>
      <c r="M20" s="60">
        <f t="shared" si="0"/>
        <v>0</v>
      </c>
      <c r="N20" s="60">
        <f t="shared" si="1"/>
        <v>0</v>
      </c>
      <c r="O20" s="60">
        <f t="shared" si="2"/>
        <v>0</v>
      </c>
    </row>
    <row r="21" spans="2:15" hidden="1" x14ac:dyDescent="0.2">
      <c r="B21" s="84"/>
      <c r="C21" s="84"/>
      <c r="D21" s="73"/>
      <c r="E21" s="74"/>
      <c r="F21" s="84"/>
      <c r="G21" s="60"/>
      <c r="H21" s="60">
        <f t="shared" si="4"/>
        <v>0</v>
      </c>
      <c r="I21" s="60">
        <f t="shared" si="5"/>
        <v>0</v>
      </c>
      <c r="J21" s="1" t="str">
        <f t="shared" si="3"/>
        <v/>
      </c>
      <c r="M21" s="60">
        <f t="shared" si="0"/>
        <v>0</v>
      </c>
      <c r="N21" s="60">
        <f t="shared" si="1"/>
        <v>0</v>
      </c>
      <c r="O21" s="60">
        <f t="shared" si="2"/>
        <v>0</v>
      </c>
    </row>
    <row r="22" spans="2:15" hidden="1" x14ac:dyDescent="0.2">
      <c r="B22" s="84"/>
      <c r="C22" s="84"/>
      <c r="D22" s="73"/>
      <c r="E22" s="74"/>
      <c r="F22" s="84"/>
      <c r="G22" s="60"/>
      <c r="H22" s="60">
        <f t="shared" si="4"/>
        <v>0</v>
      </c>
      <c r="I22" s="60">
        <f t="shared" si="5"/>
        <v>0</v>
      </c>
      <c r="J22" s="1" t="str">
        <f t="shared" si="3"/>
        <v/>
      </c>
      <c r="M22" s="60">
        <f t="shared" si="0"/>
        <v>0</v>
      </c>
      <c r="N22" s="60">
        <f t="shared" si="1"/>
        <v>0</v>
      </c>
      <c r="O22" s="60">
        <f t="shared" si="2"/>
        <v>0</v>
      </c>
    </row>
    <row r="23" spans="2:15" hidden="1" x14ac:dyDescent="0.2">
      <c r="B23" s="84"/>
      <c r="C23" s="84"/>
      <c r="D23" s="73"/>
      <c r="E23" s="74"/>
      <c r="F23" s="84"/>
      <c r="G23" s="60"/>
      <c r="H23" s="60">
        <f t="shared" si="4"/>
        <v>0</v>
      </c>
      <c r="I23" s="60">
        <f t="shared" si="5"/>
        <v>0</v>
      </c>
      <c r="J23" s="1" t="str">
        <f t="shared" si="3"/>
        <v/>
      </c>
      <c r="M23" s="60">
        <f t="shared" si="0"/>
        <v>0</v>
      </c>
      <c r="N23" s="60">
        <f t="shared" si="1"/>
        <v>0</v>
      </c>
      <c r="O23" s="60">
        <f t="shared" si="2"/>
        <v>0</v>
      </c>
    </row>
    <row r="24" spans="2:15" hidden="1" x14ac:dyDescent="0.2">
      <c r="B24" s="84"/>
      <c r="C24" s="84"/>
      <c r="D24" s="73"/>
      <c r="E24" s="74"/>
      <c r="F24" s="84"/>
      <c r="G24" s="60"/>
      <c r="H24" s="60">
        <f t="shared" si="4"/>
        <v>0</v>
      </c>
      <c r="I24" s="60">
        <f t="shared" si="5"/>
        <v>0</v>
      </c>
      <c r="J24" s="1" t="str">
        <f t="shared" si="3"/>
        <v/>
      </c>
      <c r="M24" s="60">
        <f t="shared" si="0"/>
        <v>0</v>
      </c>
      <c r="N24" s="60">
        <f t="shared" si="1"/>
        <v>0</v>
      </c>
      <c r="O24" s="60">
        <f t="shared" si="2"/>
        <v>0</v>
      </c>
    </row>
    <row r="25" spans="2:15" hidden="1" x14ac:dyDescent="0.2">
      <c r="B25" s="84"/>
      <c r="C25" s="84"/>
      <c r="D25" s="73"/>
      <c r="E25" s="74"/>
      <c r="F25" s="84"/>
      <c r="G25" s="60"/>
      <c r="H25" s="60">
        <f t="shared" si="4"/>
        <v>0</v>
      </c>
      <c r="I25" s="60">
        <f t="shared" si="5"/>
        <v>0</v>
      </c>
      <c r="J25" s="1" t="str">
        <f t="shared" si="3"/>
        <v/>
      </c>
      <c r="M25" s="60">
        <f t="shared" si="0"/>
        <v>0</v>
      </c>
      <c r="N25" s="60">
        <f t="shared" si="1"/>
        <v>0</v>
      </c>
      <c r="O25" s="60">
        <f t="shared" si="2"/>
        <v>0</v>
      </c>
    </row>
    <row r="26" spans="2:15" hidden="1" x14ac:dyDescent="0.2">
      <c r="B26" s="84"/>
      <c r="C26" s="84"/>
      <c r="D26" s="73"/>
      <c r="E26" s="74"/>
      <c r="F26" s="84"/>
      <c r="G26" s="60"/>
      <c r="H26" s="60">
        <f t="shared" si="4"/>
        <v>0</v>
      </c>
      <c r="I26" s="60">
        <f t="shared" si="5"/>
        <v>0</v>
      </c>
      <c r="J26" s="1" t="str">
        <f t="shared" si="3"/>
        <v/>
      </c>
      <c r="M26" s="60">
        <f t="shared" si="0"/>
        <v>0</v>
      </c>
      <c r="N26" s="60">
        <f t="shared" si="1"/>
        <v>0</v>
      </c>
      <c r="O26" s="60">
        <f t="shared" si="2"/>
        <v>0</v>
      </c>
    </row>
    <row r="27" spans="2:15" hidden="1" x14ac:dyDescent="0.2">
      <c r="B27" s="84"/>
      <c r="C27" s="84"/>
      <c r="D27" s="73"/>
      <c r="E27" s="74"/>
      <c r="F27" s="84"/>
      <c r="G27" s="60"/>
      <c r="H27" s="60">
        <f t="shared" si="4"/>
        <v>0</v>
      </c>
      <c r="I27" s="60">
        <f t="shared" si="5"/>
        <v>0</v>
      </c>
      <c r="J27" s="1" t="str">
        <f t="shared" si="3"/>
        <v/>
      </c>
      <c r="M27" s="60">
        <f t="shared" si="0"/>
        <v>0</v>
      </c>
      <c r="N27" s="60">
        <f t="shared" si="1"/>
        <v>0</v>
      </c>
      <c r="O27" s="60">
        <f t="shared" si="2"/>
        <v>0</v>
      </c>
    </row>
    <row r="28" spans="2:15" hidden="1" x14ac:dyDescent="0.2">
      <c r="B28" s="28"/>
      <c r="C28" s="28"/>
      <c r="D28" s="73"/>
      <c r="E28" s="74"/>
      <c r="F28" s="28"/>
      <c r="G28" s="60"/>
      <c r="H28" s="60">
        <f t="shared" si="4"/>
        <v>0</v>
      </c>
      <c r="I28" s="60">
        <f t="shared" si="5"/>
        <v>0</v>
      </c>
      <c r="J28" s="1" t="str">
        <f t="shared" si="3"/>
        <v/>
      </c>
      <c r="M28" s="60">
        <f t="shared" si="0"/>
        <v>0</v>
      </c>
      <c r="N28" s="60">
        <f t="shared" si="1"/>
        <v>0</v>
      </c>
      <c r="O28" s="60">
        <f t="shared" si="2"/>
        <v>0</v>
      </c>
    </row>
    <row r="29" spans="2:15" hidden="1" x14ac:dyDescent="0.2">
      <c r="B29" s="28"/>
      <c r="C29" s="28"/>
      <c r="D29" s="73"/>
      <c r="E29" s="74"/>
      <c r="F29" s="28"/>
      <c r="G29" s="60"/>
      <c r="H29" s="60">
        <f t="shared" si="4"/>
        <v>0</v>
      </c>
      <c r="I29" s="60">
        <f t="shared" si="5"/>
        <v>0</v>
      </c>
      <c r="J29" s="1" t="str">
        <f t="shared" si="3"/>
        <v/>
      </c>
      <c r="M29" s="60">
        <f t="shared" si="0"/>
        <v>0</v>
      </c>
      <c r="N29" s="60">
        <f t="shared" si="1"/>
        <v>0</v>
      </c>
      <c r="O29" s="60">
        <f t="shared" si="2"/>
        <v>0</v>
      </c>
    </row>
    <row r="30" spans="2:15" hidden="1" x14ac:dyDescent="0.2">
      <c r="B30" s="28"/>
      <c r="C30" s="28"/>
      <c r="D30" s="73"/>
      <c r="E30" s="74"/>
      <c r="F30" s="28"/>
      <c r="G30" s="60"/>
      <c r="H30" s="60">
        <f t="shared" si="4"/>
        <v>0</v>
      </c>
      <c r="I30" s="60">
        <f t="shared" si="5"/>
        <v>0</v>
      </c>
      <c r="J30" s="1" t="str">
        <f t="shared" si="3"/>
        <v/>
      </c>
      <c r="M30" s="60">
        <f t="shared" si="0"/>
        <v>0</v>
      </c>
      <c r="N30" s="60">
        <f t="shared" si="1"/>
        <v>0</v>
      </c>
      <c r="O30" s="60">
        <f t="shared" si="2"/>
        <v>0</v>
      </c>
    </row>
    <row r="31" spans="2:15" hidden="1" x14ac:dyDescent="0.2">
      <c r="B31" s="28"/>
      <c r="C31" s="28"/>
      <c r="D31" s="73"/>
      <c r="E31" s="74"/>
      <c r="F31" s="28"/>
      <c r="G31" s="60"/>
      <c r="H31" s="60">
        <f t="shared" si="4"/>
        <v>0</v>
      </c>
      <c r="I31" s="60">
        <f t="shared" si="5"/>
        <v>0</v>
      </c>
      <c r="J31" s="1" t="str">
        <f t="shared" si="3"/>
        <v/>
      </c>
      <c r="M31" s="60">
        <f t="shared" si="0"/>
        <v>0</v>
      </c>
      <c r="N31" s="60">
        <f t="shared" si="1"/>
        <v>0</v>
      </c>
      <c r="O31" s="60">
        <f t="shared" si="2"/>
        <v>0</v>
      </c>
    </row>
    <row r="32" spans="2:15" hidden="1" x14ac:dyDescent="0.2">
      <c r="B32" s="28"/>
      <c r="C32" s="28"/>
      <c r="D32" s="73"/>
      <c r="E32" s="74"/>
      <c r="F32" s="28"/>
      <c r="G32" s="60"/>
      <c r="H32" s="60">
        <f t="shared" si="4"/>
        <v>0</v>
      </c>
      <c r="I32" s="60">
        <f t="shared" si="5"/>
        <v>0</v>
      </c>
      <c r="J32" s="1" t="str">
        <f t="shared" si="3"/>
        <v/>
      </c>
      <c r="M32" s="60">
        <f t="shared" si="0"/>
        <v>0</v>
      </c>
      <c r="N32" s="60">
        <f t="shared" si="1"/>
        <v>0</v>
      </c>
      <c r="O32" s="60">
        <f t="shared" si="2"/>
        <v>0</v>
      </c>
    </row>
    <row r="33" spans="2:15" hidden="1" x14ac:dyDescent="0.2">
      <c r="B33" s="28"/>
      <c r="C33" s="28"/>
      <c r="D33" s="73"/>
      <c r="E33" s="74"/>
      <c r="F33" s="28"/>
      <c r="G33" s="60"/>
      <c r="H33" s="60">
        <f t="shared" si="4"/>
        <v>0</v>
      </c>
      <c r="I33" s="60">
        <f t="shared" si="5"/>
        <v>0</v>
      </c>
      <c r="J33" s="1" t="str">
        <f t="shared" si="3"/>
        <v/>
      </c>
      <c r="M33" s="60">
        <f t="shared" si="0"/>
        <v>0</v>
      </c>
      <c r="N33" s="60">
        <f t="shared" si="1"/>
        <v>0</v>
      </c>
      <c r="O33" s="60">
        <f t="shared" si="2"/>
        <v>0</v>
      </c>
    </row>
    <row r="34" spans="2:15" hidden="1" x14ac:dyDescent="0.2">
      <c r="B34" s="28"/>
      <c r="C34" s="28"/>
      <c r="D34" s="73"/>
      <c r="E34" s="74"/>
      <c r="F34" s="28"/>
      <c r="G34" s="60"/>
      <c r="H34" s="60">
        <f t="shared" si="4"/>
        <v>0</v>
      </c>
      <c r="I34" s="60">
        <f t="shared" si="5"/>
        <v>0</v>
      </c>
      <c r="J34" s="1" t="str">
        <f t="shared" si="3"/>
        <v/>
      </c>
      <c r="M34" s="60">
        <f t="shared" si="0"/>
        <v>0</v>
      </c>
      <c r="N34" s="60">
        <f t="shared" si="1"/>
        <v>0</v>
      </c>
      <c r="O34" s="60">
        <f t="shared" si="2"/>
        <v>0</v>
      </c>
    </row>
    <row r="35" spans="2:15" hidden="1" x14ac:dyDescent="0.2">
      <c r="B35" s="28"/>
      <c r="C35" s="28"/>
      <c r="D35" s="73"/>
      <c r="E35" s="74"/>
      <c r="F35" s="28"/>
      <c r="G35" s="60"/>
      <c r="H35" s="60">
        <f t="shared" si="4"/>
        <v>0</v>
      </c>
      <c r="I35" s="60">
        <f t="shared" si="5"/>
        <v>0</v>
      </c>
      <c r="J35" s="1" t="str">
        <f t="shared" si="3"/>
        <v/>
      </c>
      <c r="M35" s="60">
        <f t="shared" si="0"/>
        <v>0</v>
      </c>
      <c r="N35" s="60">
        <f t="shared" si="1"/>
        <v>0</v>
      </c>
      <c r="O35" s="60">
        <f t="shared" si="2"/>
        <v>0</v>
      </c>
    </row>
    <row r="36" spans="2:15" hidden="1" x14ac:dyDescent="0.2">
      <c r="B36" s="28"/>
      <c r="C36" s="28"/>
      <c r="D36" s="73"/>
      <c r="E36" s="74"/>
      <c r="F36" s="28"/>
      <c r="G36" s="60"/>
      <c r="H36" s="60">
        <f t="shared" si="4"/>
        <v>0</v>
      </c>
      <c r="I36" s="60">
        <f t="shared" si="5"/>
        <v>0</v>
      </c>
      <c r="J36" s="1" t="str">
        <f t="shared" si="3"/>
        <v/>
      </c>
      <c r="M36" s="60">
        <f t="shared" si="0"/>
        <v>0</v>
      </c>
      <c r="N36" s="60">
        <f t="shared" si="1"/>
        <v>0</v>
      </c>
      <c r="O36" s="60">
        <f t="shared" si="2"/>
        <v>0</v>
      </c>
    </row>
    <row r="37" spans="2:15" hidden="1" x14ac:dyDescent="0.2">
      <c r="B37" s="28"/>
      <c r="C37" s="28"/>
      <c r="D37" s="73"/>
      <c r="E37" s="74"/>
      <c r="F37" s="28"/>
      <c r="G37" s="60"/>
      <c r="H37" s="60">
        <f t="shared" si="4"/>
        <v>0</v>
      </c>
      <c r="I37" s="60">
        <f t="shared" si="5"/>
        <v>0</v>
      </c>
      <c r="J37" s="1" t="str">
        <f t="shared" si="3"/>
        <v/>
      </c>
      <c r="M37" s="60">
        <f t="shared" si="0"/>
        <v>0</v>
      </c>
      <c r="N37" s="60">
        <f t="shared" si="1"/>
        <v>0</v>
      </c>
      <c r="O37" s="60">
        <f t="shared" si="2"/>
        <v>0</v>
      </c>
    </row>
    <row r="38" spans="2:15" hidden="1" x14ac:dyDescent="0.2">
      <c r="B38" s="28"/>
      <c r="C38" s="28"/>
      <c r="D38" s="73"/>
      <c r="E38" s="74"/>
      <c r="F38" s="28"/>
      <c r="G38" s="60"/>
      <c r="H38" s="60">
        <f t="shared" si="4"/>
        <v>0</v>
      </c>
      <c r="I38" s="60">
        <f t="shared" si="5"/>
        <v>0</v>
      </c>
      <c r="J38" s="1" t="str">
        <f t="shared" si="3"/>
        <v/>
      </c>
      <c r="M38" s="60">
        <f t="shared" si="0"/>
        <v>0</v>
      </c>
      <c r="N38" s="60">
        <f t="shared" si="1"/>
        <v>0</v>
      </c>
      <c r="O38" s="60">
        <f t="shared" si="2"/>
        <v>0</v>
      </c>
    </row>
    <row r="39" spans="2:15" hidden="1" x14ac:dyDescent="0.2">
      <c r="B39" s="28"/>
      <c r="C39" s="28"/>
      <c r="D39" s="73"/>
      <c r="E39" s="74"/>
      <c r="F39" s="28"/>
      <c r="G39" s="60"/>
      <c r="H39" s="60">
        <f t="shared" si="4"/>
        <v>0</v>
      </c>
      <c r="I39" s="60">
        <f t="shared" si="5"/>
        <v>0</v>
      </c>
      <c r="J39" s="1" t="str">
        <f t="shared" si="3"/>
        <v/>
      </c>
      <c r="M39" s="60">
        <f t="shared" si="0"/>
        <v>0</v>
      </c>
      <c r="N39" s="60">
        <f t="shared" si="1"/>
        <v>0</v>
      </c>
      <c r="O39" s="60">
        <f t="shared" si="2"/>
        <v>0</v>
      </c>
    </row>
    <row r="40" spans="2:15" hidden="1" x14ac:dyDescent="0.2">
      <c r="B40" s="28"/>
      <c r="C40" s="28"/>
      <c r="D40" s="73"/>
      <c r="E40" s="74"/>
      <c r="F40" s="28"/>
      <c r="G40" s="60"/>
      <c r="H40" s="60">
        <f t="shared" si="4"/>
        <v>0</v>
      </c>
      <c r="I40" s="60">
        <f t="shared" si="5"/>
        <v>0</v>
      </c>
      <c r="J40" s="1" t="str">
        <f t="shared" ref="J40:J49" si="6">IF(G40&gt;0.49,"*","")</f>
        <v/>
      </c>
      <c r="M40" s="60">
        <f t="shared" si="0"/>
        <v>0</v>
      </c>
      <c r="N40" s="60">
        <f t="shared" si="1"/>
        <v>0</v>
      </c>
      <c r="O40" s="60">
        <f t="shared" si="2"/>
        <v>0</v>
      </c>
    </row>
    <row r="41" spans="2:15" hidden="1" x14ac:dyDescent="0.2">
      <c r="B41" s="28"/>
      <c r="C41" s="28"/>
      <c r="D41" s="73"/>
      <c r="E41" s="74"/>
      <c r="F41" s="28"/>
      <c r="G41" s="60"/>
      <c r="H41" s="60">
        <f t="shared" si="4"/>
        <v>0</v>
      </c>
      <c r="I41" s="60">
        <f t="shared" si="5"/>
        <v>0</v>
      </c>
      <c r="J41" s="1" t="str">
        <f t="shared" si="6"/>
        <v/>
      </c>
      <c r="M41" s="60">
        <f t="shared" si="0"/>
        <v>0</v>
      </c>
      <c r="N41" s="60">
        <f t="shared" si="1"/>
        <v>0</v>
      </c>
      <c r="O41" s="60">
        <f t="shared" si="2"/>
        <v>0</v>
      </c>
    </row>
    <row r="42" spans="2:15" hidden="1" x14ac:dyDescent="0.2">
      <c r="B42" s="28"/>
      <c r="C42" s="28"/>
      <c r="D42" s="73"/>
      <c r="E42" s="74"/>
      <c r="F42" s="28"/>
      <c r="G42" s="60"/>
      <c r="H42" s="60">
        <f t="shared" si="4"/>
        <v>0</v>
      </c>
      <c r="I42" s="60">
        <f t="shared" si="5"/>
        <v>0</v>
      </c>
      <c r="J42" s="1" t="str">
        <f t="shared" si="6"/>
        <v/>
      </c>
      <c r="M42" s="60">
        <f t="shared" si="0"/>
        <v>0</v>
      </c>
      <c r="N42" s="60">
        <f t="shared" si="1"/>
        <v>0</v>
      </c>
      <c r="O42" s="60">
        <f t="shared" si="2"/>
        <v>0</v>
      </c>
    </row>
    <row r="43" spans="2:15" hidden="1" x14ac:dyDescent="0.2">
      <c r="B43" s="28"/>
      <c r="C43" s="28"/>
      <c r="D43" s="73"/>
      <c r="E43" s="74"/>
      <c r="F43" s="28"/>
      <c r="G43" s="60"/>
      <c r="H43" s="60">
        <f t="shared" si="4"/>
        <v>0</v>
      </c>
      <c r="I43" s="60">
        <f t="shared" si="5"/>
        <v>0</v>
      </c>
      <c r="J43" s="1" t="str">
        <f t="shared" si="6"/>
        <v/>
      </c>
      <c r="M43" s="60">
        <f t="shared" si="0"/>
        <v>0</v>
      </c>
      <c r="N43" s="60">
        <f t="shared" si="1"/>
        <v>0</v>
      </c>
      <c r="O43" s="60">
        <f t="shared" si="2"/>
        <v>0</v>
      </c>
    </row>
    <row r="44" spans="2:15" hidden="1" x14ac:dyDescent="0.2">
      <c r="B44" s="28"/>
      <c r="C44" s="28"/>
      <c r="D44" s="73"/>
      <c r="E44" s="74"/>
      <c r="F44" s="28"/>
      <c r="G44" s="60"/>
      <c r="H44" s="60">
        <f t="shared" si="4"/>
        <v>0</v>
      </c>
      <c r="I44" s="60">
        <f t="shared" si="5"/>
        <v>0</v>
      </c>
      <c r="J44" s="1" t="str">
        <f t="shared" si="6"/>
        <v/>
      </c>
      <c r="M44" s="60">
        <f t="shared" si="0"/>
        <v>0</v>
      </c>
      <c r="N44" s="60">
        <f t="shared" si="1"/>
        <v>0</v>
      </c>
      <c r="O44" s="60">
        <f t="shared" si="2"/>
        <v>0</v>
      </c>
    </row>
    <row r="45" spans="2:15" hidden="1" x14ac:dyDescent="0.2">
      <c r="B45" s="28"/>
      <c r="C45" s="28"/>
      <c r="D45" s="73"/>
      <c r="E45" s="74"/>
      <c r="F45" s="28"/>
      <c r="G45" s="60"/>
      <c r="H45" s="60">
        <f t="shared" si="4"/>
        <v>0</v>
      </c>
      <c r="I45" s="60">
        <f t="shared" si="5"/>
        <v>0</v>
      </c>
      <c r="J45" s="1" t="str">
        <f t="shared" si="6"/>
        <v/>
      </c>
      <c r="M45" s="60">
        <f t="shared" ref="M45:M64" si="7">IF(B45=490,G45,0)</f>
        <v>0</v>
      </c>
      <c r="N45" s="60">
        <f t="shared" ref="N45:N64" si="8">IF(B45=432,G45,0)</f>
        <v>0</v>
      </c>
      <c r="O45" s="60">
        <f t="shared" ref="O45:O64" si="9">IF(B45=410,G45,0)</f>
        <v>0</v>
      </c>
    </row>
    <row r="46" spans="2:15" hidden="1" x14ac:dyDescent="0.2">
      <c r="B46" s="28"/>
      <c r="C46" s="28"/>
      <c r="D46" s="73"/>
      <c r="E46" s="74"/>
      <c r="F46" s="28"/>
      <c r="G46" s="60"/>
      <c r="H46" s="60">
        <f t="shared" si="4"/>
        <v>0</v>
      </c>
      <c r="I46" s="60">
        <f t="shared" si="5"/>
        <v>0</v>
      </c>
      <c r="J46" s="1" t="str">
        <f t="shared" si="6"/>
        <v/>
      </c>
      <c r="M46" s="60">
        <f t="shared" si="7"/>
        <v>0</v>
      </c>
      <c r="N46" s="60">
        <f t="shared" si="8"/>
        <v>0</v>
      </c>
      <c r="O46" s="60">
        <f t="shared" si="9"/>
        <v>0</v>
      </c>
    </row>
    <row r="47" spans="2:15" hidden="1" x14ac:dyDescent="0.2">
      <c r="B47" s="28"/>
      <c r="C47" s="28"/>
      <c r="D47" s="73"/>
      <c r="E47" s="74"/>
      <c r="F47" s="28"/>
      <c r="G47" s="60"/>
      <c r="H47" s="60">
        <f t="shared" si="4"/>
        <v>0</v>
      </c>
      <c r="I47" s="60">
        <f t="shared" si="5"/>
        <v>0</v>
      </c>
      <c r="J47" s="1" t="str">
        <f t="shared" si="6"/>
        <v/>
      </c>
      <c r="M47" s="60">
        <f t="shared" si="7"/>
        <v>0</v>
      </c>
      <c r="N47" s="60">
        <f t="shared" si="8"/>
        <v>0</v>
      </c>
      <c r="O47" s="60">
        <f t="shared" si="9"/>
        <v>0</v>
      </c>
    </row>
    <row r="48" spans="2:15" hidden="1" x14ac:dyDescent="0.2">
      <c r="B48" s="28"/>
      <c r="C48" s="28"/>
      <c r="D48" s="73"/>
      <c r="E48" s="74"/>
      <c r="F48" s="28"/>
      <c r="G48" s="60"/>
      <c r="H48" s="60">
        <f t="shared" si="4"/>
        <v>0</v>
      </c>
      <c r="I48" s="60">
        <f t="shared" si="5"/>
        <v>0</v>
      </c>
      <c r="J48" s="1" t="str">
        <f t="shared" si="6"/>
        <v/>
      </c>
      <c r="M48" s="60">
        <f t="shared" si="7"/>
        <v>0</v>
      </c>
      <c r="N48" s="60">
        <f t="shared" si="8"/>
        <v>0</v>
      </c>
      <c r="O48" s="60">
        <f t="shared" si="9"/>
        <v>0</v>
      </c>
    </row>
    <row r="49" spans="2:15" hidden="1" x14ac:dyDescent="0.2">
      <c r="B49" s="28"/>
      <c r="C49" s="28"/>
      <c r="D49" s="73"/>
      <c r="E49" s="74"/>
      <c r="F49" s="28"/>
      <c r="G49" s="60"/>
      <c r="H49" s="60">
        <f t="shared" si="4"/>
        <v>0</v>
      </c>
      <c r="I49" s="60">
        <f t="shared" si="5"/>
        <v>0</v>
      </c>
      <c r="J49" s="1" t="str">
        <f t="shared" si="6"/>
        <v/>
      </c>
      <c r="M49" s="60">
        <f t="shared" si="7"/>
        <v>0</v>
      </c>
      <c r="N49" s="60">
        <f t="shared" si="8"/>
        <v>0</v>
      </c>
      <c r="O49" s="60">
        <f t="shared" si="9"/>
        <v>0</v>
      </c>
    </row>
    <row r="50" spans="2:15" hidden="1" x14ac:dyDescent="0.2">
      <c r="B50" s="28"/>
      <c r="C50" s="28"/>
      <c r="D50" s="73"/>
      <c r="E50" s="74"/>
      <c r="F50" s="28"/>
      <c r="G50" s="60"/>
      <c r="H50" s="60">
        <f t="shared" si="4"/>
        <v>0</v>
      </c>
      <c r="I50" s="60">
        <f t="shared" si="5"/>
        <v>0</v>
      </c>
      <c r="J50" s="1" t="str">
        <f t="shared" ref="J50:J63" si="10">IF(G50&gt;0.49,"*","")</f>
        <v/>
      </c>
      <c r="M50" s="60">
        <f t="shared" si="7"/>
        <v>0</v>
      </c>
      <c r="N50" s="60">
        <f t="shared" si="8"/>
        <v>0</v>
      </c>
      <c r="O50" s="60">
        <f t="shared" si="9"/>
        <v>0</v>
      </c>
    </row>
    <row r="51" spans="2:15" hidden="1" x14ac:dyDescent="0.2">
      <c r="B51" s="28"/>
      <c r="C51" s="28"/>
      <c r="D51" s="73"/>
      <c r="E51" s="74"/>
      <c r="F51" s="28"/>
      <c r="G51" s="60"/>
      <c r="H51" s="60">
        <f t="shared" si="4"/>
        <v>0</v>
      </c>
      <c r="I51" s="60">
        <f t="shared" si="5"/>
        <v>0</v>
      </c>
      <c r="J51" s="1" t="str">
        <f t="shared" si="10"/>
        <v/>
      </c>
      <c r="M51" s="60">
        <f t="shared" si="7"/>
        <v>0</v>
      </c>
      <c r="N51" s="60">
        <f t="shared" si="8"/>
        <v>0</v>
      </c>
      <c r="O51" s="60">
        <f t="shared" si="9"/>
        <v>0</v>
      </c>
    </row>
    <row r="52" spans="2:15" hidden="1" x14ac:dyDescent="0.2">
      <c r="B52" s="28"/>
      <c r="C52" s="28"/>
      <c r="D52" s="73"/>
      <c r="E52" s="74"/>
      <c r="F52" s="28"/>
      <c r="G52" s="60"/>
      <c r="H52" s="60">
        <f t="shared" si="4"/>
        <v>0</v>
      </c>
      <c r="I52" s="60">
        <f t="shared" si="5"/>
        <v>0</v>
      </c>
      <c r="J52" s="1" t="str">
        <f t="shared" si="10"/>
        <v/>
      </c>
      <c r="M52" s="60">
        <f t="shared" si="7"/>
        <v>0</v>
      </c>
      <c r="N52" s="60">
        <f t="shared" si="8"/>
        <v>0</v>
      </c>
      <c r="O52" s="60">
        <f t="shared" si="9"/>
        <v>0</v>
      </c>
    </row>
    <row r="53" spans="2:15" hidden="1" x14ac:dyDescent="0.2">
      <c r="B53" s="28"/>
      <c r="C53" s="28"/>
      <c r="D53" s="73"/>
      <c r="E53" s="74"/>
      <c r="F53" s="28"/>
      <c r="G53" s="60"/>
      <c r="H53" s="60">
        <f t="shared" si="4"/>
        <v>0</v>
      </c>
      <c r="I53" s="60">
        <f t="shared" si="5"/>
        <v>0</v>
      </c>
      <c r="J53" s="1" t="str">
        <f t="shared" si="10"/>
        <v/>
      </c>
      <c r="M53" s="60">
        <f t="shared" si="7"/>
        <v>0</v>
      </c>
      <c r="N53" s="60">
        <f t="shared" si="8"/>
        <v>0</v>
      </c>
      <c r="O53" s="60">
        <f t="shared" si="9"/>
        <v>0</v>
      </c>
    </row>
    <row r="54" spans="2:15" hidden="1" x14ac:dyDescent="0.2">
      <c r="B54" s="28"/>
      <c r="C54" s="28"/>
      <c r="D54" s="73"/>
      <c r="E54" s="74"/>
      <c r="F54" s="28"/>
      <c r="G54" s="60"/>
      <c r="H54" s="60">
        <f t="shared" si="4"/>
        <v>0</v>
      </c>
      <c r="I54" s="60">
        <f t="shared" si="5"/>
        <v>0</v>
      </c>
      <c r="J54" s="1" t="str">
        <f t="shared" si="10"/>
        <v/>
      </c>
      <c r="M54" s="60">
        <f t="shared" si="7"/>
        <v>0</v>
      </c>
      <c r="N54" s="60">
        <f t="shared" si="8"/>
        <v>0</v>
      </c>
      <c r="O54" s="60">
        <f t="shared" si="9"/>
        <v>0</v>
      </c>
    </row>
    <row r="55" spans="2:15" hidden="1" x14ac:dyDescent="0.2">
      <c r="B55" s="28"/>
      <c r="C55" s="28"/>
      <c r="D55" s="73"/>
      <c r="E55" s="74"/>
      <c r="F55" s="28"/>
      <c r="G55" s="60"/>
      <c r="H55" s="60">
        <f t="shared" si="4"/>
        <v>0</v>
      </c>
      <c r="I55" s="60">
        <f t="shared" si="5"/>
        <v>0</v>
      </c>
      <c r="J55" s="1" t="str">
        <f t="shared" si="10"/>
        <v/>
      </c>
      <c r="M55" s="60">
        <f t="shared" si="7"/>
        <v>0</v>
      </c>
      <c r="N55" s="60">
        <f t="shared" si="8"/>
        <v>0</v>
      </c>
      <c r="O55" s="60">
        <f t="shared" si="9"/>
        <v>0</v>
      </c>
    </row>
    <row r="56" spans="2:15" hidden="1" x14ac:dyDescent="0.2">
      <c r="B56" s="28"/>
      <c r="C56" s="28"/>
      <c r="D56" s="73"/>
      <c r="E56" s="74"/>
      <c r="F56" s="28"/>
      <c r="G56" s="60"/>
      <c r="H56" s="60">
        <f t="shared" si="4"/>
        <v>0</v>
      </c>
      <c r="I56" s="60">
        <f t="shared" si="5"/>
        <v>0</v>
      </c>
      <c r="J56" s="1" t="str">
        <f t="shared" si="10"/>
        <v/>
      </c>
      <c r="M56" s="60">
        <f t="shared" si="7"/>
        <v>0</v>
      </c>
      <c r="N56" s="60">
        <f t="shared" si="8"/>
        <v>0</v>
      </c>
      <c r="O56" s="60">
        <f t="shared" si="9"/>
        <v>0</v>
      </c>
    </row>
    <row r="57" spans="2:15" hidden="1" x14ac:dyDescent="0.2">
      <c r="B57" s="28"/>
      <c r="C57" s="28"/>
      <c r="D57" s="73"/>
      <c r="E57" s="74"/>
      <c r="F57" s="28"/>
      <c r="G57" s="60"/>
      <c r="H57" s="60">
        <f t="shared" si="4"/>
        <v>0</v>
      </c>
      <c r="I57" s="60">
        <f t="shared" si="5"/>
        <v>0</v>
      </c>
      <c r="J57" s="1" t="str">
        <f t="shared" si="10"/>
        <v/>
      </c>
      <c r="M57" s="60">
        <f t="shared" si="7"/>
        <v>0</v>
      </c>
      <c r="N57" s="60">
        <f t="shared" si="8"/>
        <v>0</v>
      </c>
      <c r="O57" s="60">
        <f t="shared" si="9"/>
        <v>0</v>
      </c>
    </row>
    <row r="58" spans="2:15" hidden="1" x14ac:dyDescent="0.2">
      <c r="B58" s="28"/>
      <c r="C58" s="28"/>
      <c r="D58" s="73"/>
      <c r="E58" s="74"/>
      <c r="F58" s="28"/>
      <c r="G58" s="60"/>
      <c r="H58" s="60">
        <f t="shared" si="4"/>
        <v>0</v>
      </c>
      <c r="I58" s="60">
        <f t="shared" si="5"/>
        <v>0</v>
      </c>
      <c r="J58" s="1" t="str">
        <f t="shared" si="10"/>
        <v/>
      </c>
      <c r="M58" s="60">
        <f t="shared" si="7"/>
        <v>0</v>
      </c>
      <c r="N58" s="60">
        <f t="shared" si="8"/>
        <v>0</v>
      </c>
      <c r="O58" s="60">
        <f t="shared" si="9"/>
        <v>0</v>
      </c>
    </row>
    <row r="59" spans="2:15" hidden="1" x14ac:dyDescent="0.2">
      <c r="B59" s="28"/>
      <c r="C59" s="28"/>
      <c r="D59" s="73"/>
      <c r="E59" s="74"/>
      <c r="F59" s="28"/>
      <c r="G59" s="60"/>
      <c r="H59" s="60">
        <f t="shared" si="4"/>
        <v>0</v>
      </c>
      <c r="I59" s="60">
        <f t="shared" si="5"/>
        <v>0</v>
      </c>
      <c r="J59" s="1" t="str">
        <f t="shared" si="10"/>
        <v/>
      </c>
      <c r="M59" s="60">
        <f t="shared" si="7"/>
        <v>0</v>
      </c>
      <c r="N59" s="60">
        <f t="shared" si="8"/>
        <v>0</v>
      </c>
      <c r="O59" s="60">
        <f t="shared" si="9"/>
        <v>0</v>
      </c>
    </row>
    <row r="60" spans="2:15" hidden="1" x14ac:dyDescent="0.2">
      <c r="B60" s="28"/>
      <c r="C60" s="28"/>
      <c r="D60" s="73"/>
      <c r="E60" s="74"/>
      <c r="F60" s="28"/>
      <c r="G60" s="60"/>
      <c r="H60" s="60">
        <f t="shared" si="4"/>
        <v>0</v>
      </c>
      <c r="I60" s="60">
        <f t="shared" si="5"/>
        <v>0</v>
      </c>
      <c r="J60" s="1" t="str">
        <f t="shared" si="10"/>
        <v/>
      </c>
      <c r="M60" s="60">
        <f t="shared" si="7"/>
        <v>0</v>
      </c>
      <c r="N60" s="60">
        <f t="shared" si="8"/>
        <v>0</v>
      </c>
      <c r="O60" s="60">
        <f t="shared" si="9"/>
        <v>0</v>
      </c>
    </row>
    <row r="61" spans="2:15" hidden="1" x14ac:dyDescent="0.2">
      <c r="B61" s="28"/>
      <c r="C61" s="28"/>
      <c r="D61" s="73"/>
      <c r="E61" s="74"/>
      <c r="F61" s="28"/>
      <c r="G61" s="60"/>
      <c r="H61" s="60">
        <f t="shared" si="4"/>
        <v>0</v>
      </c>
      <c r="I61" s="60">
        <f t="shared" si="5"/>
        <v>0</v>
      </c>
      <c r="J61" s="1" t="str">
        <f t="shared" si="10"/>
        <v/>
      </c>
      <c r="M61" s="60">
        <f t="shared" si="7"/>
        <v>0</v>
      </c>
      <c r="N61" s="60">
        <f t="shared" si="8"/>
        <v>0</v>
      </c>
      <c r="O61" s="60">
        <f t="shared" si="9"/>
        <v>0</v>
      </c>
    </row>
    <row r="62" spans="2:15" hidden="1" x14ac:dyDescent="0.2">
      <c r="B62" s="28"/>
      <c r="C62" s="28"/>
      <c r="D62" s="73"/>
      <c r="E62" s="74"/>
      <c r="F62" s="28"/>
      <c r="G62" s="60"/>
      <c r="H62" s="60">
        <f t="shared" si="4"/>
        <v>0</v>
      </c>
      <c r="I62" s="60">
        <f t="shared" si="5"/>
        <v>0</v>
      </c>
      <c r="J62" s="1" t="str">
        <f t="shared" si="10"/>
        <v/>
      </c>
      <c r="M62" s="60">
        <f t="shared" si="7"/>
        <v>0</v>
      </c>
      <c r="N62" s="60">
        <f t="shared" si="8"/>
        <v>0</v>
      </c>
      <c r="O62" s="60">
        <f t="shared" si="9"/>
        <v>0</v>
      </c>
    </row>
    <row r="63" spans="2:15" hidden="1" x14ac:dyDescent="0.2">
      <c r="B63" s="28"/>
      <c r="C63" s="28"/>
      <c r="D63" s="73"/>
      <c r="E63" s="74"/>
      <c r="F63" s="28"/>
      <c r="G63" s="60"/>
      <c r="H63" s="60">
        <f t="shared" si="4"/>
        <v>0</v>
      </c>
      <c r="I63" s="60">
        <f t="shared" si="5"/>
        <v>0</v>
      </c>
      <c r="J63" s="1" t="str">
        <f t="shared" si="10"/>
        <v/>
      </c>
      <c r="M63" s="60">
        <f t="shared" si="7"/>
        <v>0</v>
      </c>
      <c r="N63" s="60">
        <f t="shared" si="8"/>
        <v>0</v>
      </c>
      <c r="O63" s="60">
        <f t="shared" si="9"/>
        <v>0</v>
      </c>
    </row>
    <row r="64" spans="2:15" x14ac:dyDescent="0.2">
      <c r="B64" s="28"/>
      <c r="C64" s="28"/>
      <c r="D64" s="28"/>
      <c r="E64" s="28"/>
      <c r="F64" s="28"/>
      <c r="G64" s="24"/>
      <c r="H64" s="24"/>
      <c r="I64" s="24"/>
      <c r="J64" s="1" t="str">
        <f>IF(J65="*","*","")</f>
        <v>*</v>
      </c>
      <c r="M64" s="60">
        <f t="shared" si="7"/>
        <v>0</v>
      </c>
      <c r="N64" s="60">
        <f t="shared" si="8"/>
        <v>0</v>
      </c>
      <c r="O64" s="60">
        <f t="shared" si="9"/>
        <v>0</v>
      </c>
    </row>
    <row r="65" spans="1:15" ht="15" customHeight="1" x14ac:dyDescent="0.2">
      <c r="F65" s="18" t="s">
        <v>31</v>
      </c>
      <c r="G65" s="26">
        <f>SUM(G13:G64)</f>
        <v>2441037.5908999895</v>
      </c>
      <c r="H65" s="26">
        <f>SUM(H13:H64)</f>
        <v>2481483.4708053856</v>
      </c>
      <c r="I65" s="26">
        <f>SUM(I13:I64)</f>
        <v>235181.52529031935</v>
      </c>
      <c r="J65" s="1" t="str">
        <f>IF(G65&gt;0.49,"*","")</f>
        <v>*</v>
      </c>
      <c r="M65" s="26">
        <f>SUM(M13:M64)</f>
        <v>0</v>
      </c>
      <c r="N65" s="26">
        <f>SUM(N13:N64)</f>
        <v>0</v>
      </c>
      <c r="O65" s="26">
        <f>SUM(O13:O64)</f>
        <v>0</v>
      </c>
    </row>
    <row r="66" spans="1:15" x14ac:dyDescent="0.2">
      <c r="F66" s="12"/>
      <c r="J66" s="1" t="str">
        <f>IF(J65="*","*","")</f>
        <v>*</v>
      </c>
      <c r="M66" s="25"/>
      <c r="N66" s="25"/>
      <c r="O66" s="25"/>
    </row>
    <row r="67" spans="1:15" x14ac:dyDescent="0.2">
      <c r="F67" s="11" t="s">
        <v>32</v>
      </c>
      <c r="J67" s="1" t="s">
        <v>71</v>
      </c>
      <c r="M67" s="25"/>
      <c r="N67" s="25"/>
      <c r="O67" s="25"/>
    </row>
    <row r="68" spans="1:15" x14ac:dyDescent="0.2">
      <c r="B68" s="1"/>
      <c r="C68" s="1"/>
      <c r="D68" s="1"/>
      <c r="E68" s="1"/>
      <c r="J68" s="1" t="s">
        <v>71</v>
      </c>
      <c r="M68" s="25"/>
      <c r="N68" s="25"/>
      <c r="O68" s="25"/>
    </row>
    <row r="69" spans="1:15" x14ac:dyDescent="0.2">
      <c r="A69" s="21">
        <v>1</v>
      </c>
      <c r="B69" s="28">
        <v>100</v>
      </c>
      <c r="C69" s="28">
        <v>4000</v>
      </c>
      <c r="D69" s="28">
        <v>5100</v>
      </c>
      <c r="E69" s="28">
        <v>120</v>
      </c>
      <c r="F69" s="28" t="s">
        <v>1</v>
      </c>
      <c r="G69" s="25">
        <f>'Payroll Input'!E24</f>
        <v>421913</v>
      </c>
      <c r="H69" s="60">
        <f>+G69</f>
        <v>421913</v>
      </c>
      <c r="I69" s="60">
        <f>+G69</f>
        <v>421913</v>
      </c>
      <c r="J69" s="1" t="str">
        <f>IF(G69&gt;0.49,"*","")</f>
        <v>*</v>
      </c>
      <c r="L69" s="25">
        <f>IF(E69&lt;300,G69,0)</f>
        <v>421913</v>
      </c>
      <c r="M69" s="60">
        <f t="shared" ref="M69:M104" si="11">IF(B69=490,G69,0)</f>
        <v>0</v>
      </c>
      <c r="N69" s="60">
        <f t="shared" ref="N69:N103" si="12">IF(B69=432,G69,0)</f>
        <v>0</v>
      </c>
      <c r="O69" s="60">
        <f t="shared" ref="O69:O103" si="13">IF(B69=410,G69,0)</f>
        <v>0</v>
      </c>
    </row>
    <row r="70" spans="1:15" hidden="1" x14ac:dyDescent="0.2">
      <c r="A70" s="21">
        <v>1</v>
      </c>
      <c r="B70" s="28">
        <v>432</v>
      </c>
      <c r="C70" s="28">
        <v>4000</v>
      </c>
      <c r="D70" s="28">
        <v>5100</v>
      </c>
      <c r="E70" s="28">
        <v>120</v>
      </c>
      <c r="F70" s="28" t="s">
        <v>1</v>
      </c>
      <c r="G70" s="25">
        <v>0</v>
      </c>
      <c r="H70" s="60">
        <f t="shared" ref="H70:H77" si="14">+G70</f>
        <v>0</v>
      </c>
      <c r="I70" s="60">
        <f t="shared" ref="I70:I77" si="15">+G70</f>
        <v>0</v>
      </c>
      <c r="J70" s="1" t="str">
        <f t="shared" ref="J70:J119" si="16">IF(G70&gt;0.49,"*","")</f>
        <v/>
      </c>
      <c r="L70" s="25">
        <f t="shared" ref="L70:L149" si="17">IF(E70&lt;300,G70,0)</f>
        <v>0</v>
      </c>
      <c r="M70" s="60">
        <f t="shared" si="11"/>
        <v>0</v>
      </c>
      <c r="N70" s="60">
        <f t="shared" si="12"/>
        <v>0</v>
      </c>
      <c r="O70" s="60">
        <f t="shared" si="13"/>
        <v>0</v>
      </c>
    </row>
    <row r="71" spans="1:15" hidden="1" x14ac:dyDescent="0.2">
      <c r="A71" s="21">
        <v>1</v>
      </c>
      <c r="B71" s="28">
        <v>100</v>
      </c>
      <c r="C71" s="28">
        <v>4000</v>
      </c>
      <c r="D71" s="28">
        <v>5100</v>
      </c>
      <c r="E71" s="28">
        <v>150</v>
      </c>
      <c r="F71" s="28" t="s">
        <v>2</v>
      </c>
      <c r="G71" s="25">
        <v>0</v>
      </c>
      <c r="H71" s="60">
        <f t="shared" si="14"/>
        <v>0</v>
      </c>
      <c r="I71" s="60">
        <f t="shared" si="15"/>
        <v>0</v>
      </c>
      <c r="J71" s="1" t="str">
        <f t="shared" si="16"/>
        <v/>
      </c>
      <c r="L71" s="25">
        <f t="shared" si="17"/>
        <v>0</v>
      </c>
      <c r="M71" s="60">
        <f t="shared" si="11"/>
        <v>0</v>
      </c>
      <c r="N71" s="60">
        <f t="shared" si="12"/>
        <v>0</v>
      </c>
      <c r="O71" s="60">
        <f t="shared" si="13"/>
        <v>0</v>
      </c>
    </row>
    <row r="72" spans="1:15" hidden="1" x14ac:dyDescent="0.2">
      <c r="A72" s="21">
        <v>1</v>
      </c>
      <c r="B72" s="28">
        <v>432</v>
      </c>
      <c r="C72" s="28">
        <v>4000</v>
      </c>
      <c r="D72" s="28">
        <v>5100</v>
      </c>
      <c r="E72" s="28">
        <v>150</v>
      </c>
      <c r="F72" s="28" t="s">
        <v>2</v>
      </c>
      <c r="G72" s="25">
        <v>0</v>
      </c>
      <c r="H72" s="60">
        <f t="shared" si="14"/>
        <v>0</v>
      </c>
      <c r="I72" s="60">
        <f t="shared" si="15"/>
        <v>0</v>
      </c>
      <c r="J72" s="1" t="str">
        <f t="shared" si="16"/>
        <v/>
      </c>
      <c r="L72" s="25">
        <f t="shared" si="17"/>
        <v>0</v>
      </c>
      <c r="M72" s="60">
        <f t="shared" si="11"/>
        <v>0</v>
      </c>
      <c r="N72" s="60">
        <f t="shared" si="12"/>
        <v>0</v>
      </c>
      <c r="O72" s="60">
        <f t="shared" si="13"/>
        <v>0</v>
      </c>
    </row>
    <row r="73" spans="1:15" x14ac:dyDescent="0.2">
      <c r="A73" s="21">
        <v>1</v>
      </c>
      <c r="B73" s="28">
        <v>100</v>
      </c>
      <c r="C73" s="28">
        <v>4000</v>
      </c>
      <c r="D73" s="28">
        <v>5100</v>
      </c>
      <c r="E73" s="28">
        <v>210</v>
      </c>
      <c r="F73" s="28" t="s">
        <v>52</v>
      </c>
      <c r="G73" s="25">
        <f>+'Payroll Input'!F24</f>
        <v>15863.9288</v>
      </c>
      <c r="H73" s="60">
        <f t="shared" si="14"/>
        <v>15863.9288</v>
      </c>
      <c r="I73" s="60">
        <f t="shared" si="15"/>
        <v>15863.9288</v>
      </c>
      <c r="J73" s="1" t="str">
        <f t="shared" si="16"/>
        <v>*</v>
      </c>
      <c r="L73" s="25">
        <f t="shared" si="17"/>
        <v>15863.9288</v>
      </c>
      <c r="M73" s="60">
        <f t="shared" si="11"/>
        <v>0</v>
      </c>
      <c r="N73" s="60">
        <f t="shared" si="12"/>
        <v>0</v>
      </c>
      <c r="O73" s="60">
        <f t="shared" si="13"/>
        <v>0</v>
      </c>
    </row>
    <row r="74" spans="1:15" x14ac:dyDescent="0.2">
      <c r="A74" s="21">
        <v>1</v>
      </c>
      <c r="B74" s="28">
        <v>100</v>
      </c>
      <c r="C74" s="28">
        <v>4000</v>
      </c>
      <c r="D74" s="28">
        <v>5100</v>
      </c>
      <c r="E74" s="28">
        <v>220</v>
      </c>
      <c r="F74" s="28" t="s">
        <v>53</v>
      </c>
      <c r="G74" s="25">
        <f>+'Payroll Input'!H24</f>
        <v>32276.344499999999</v>
      </c>
      <c r="H74" s="60">
        <f t="shared" si="14"/>
        <v>32276.344499999999</v>
      </c>
      <c r="I74" s="60">
        <f t="shared" si="15"/>
        <v>32276.344499999999</v>
      </c>
      <c r="J74" s="1" t="str">
        <f t="shared" si="16"/>
        <v>*</v>
      </c>
      <c r="L74" s="25">
        <f t="shared" si="17"/>
        <v>32276.344499999999</v>
      </c>
      <c r="M74" s="60">
        <f t="shared" si="11"/>
        <v>0</v>
      </c>
      <c r="N74" s="60">
        <f t="shared" si="12"/>
        <v>0</v>
      </c>
      <c r="O74" s="60">
        <f t="shared" si="13"/>
        <v>0</v>
      </c>
    </row>
    <row r="75" spans="1:15" x14ac:dyDescent="0.2">
      <c r="A75" s="21">
        <v>1</v>
      </c>
      <c r="B75" s="28">
        <v>100</v>
      </c>
      <c r="C75" s="28">
        <v>4000</v>
      </c>
      <c r="D75" s="28">
        <v>5100</v>
      </c>
      <c r="E75" s="28">
        <v>230</v>
      </c>
      <c r="F75" s="28" t="s">
        <v>54</v>
      </c>
      <c r="G75" s="25">
        <f>+'Payroll Input'!I24</f>
        <v>52273.824000000008</v>
      </c>
      <c r="H75" s="60">
        <f t="shared" si="14"/>
        <v>52273.824000000008</v>
      </c>
      <c r="I75" s="60">
        <f t="shared" si="15"/>
        <v>52273.824000000008</v>
      </c>
      <c r="J75" s="1" t="str">
        <f t="shared" si="16"/>
        <v>*</v>
      </c>
      <c r="L75" s="25">
        <f t="shared" si="17"/>
        <v>52273.824000000008</v>
      </c>
      <c r="M75" s="60">
        <f t="shared" si="11"/>
        <v>0</v>
      </c>
      <c r="N75" s="60">
        <f t="shared" si="12"/>
        <v>0</v>
      </c>
      <c r="O75" s="60">
        <f t="shared" si="13"/>
        <v>0</v>
      </c>
    </row>
    <row r="76" spans="1:15" x14ac:dyDescent="0.2">
      <c r="A76" s="21">
        <v>1</v>
      </c>
      <c r="B76" s="28">
        <v>100</v>
      </c>
      <c r="C76" s="28">
        <v>4000</v>
      </c>
      <c r="D76" s="28">
        <v>5100</v>
      </c>
      <c r="E76" s="28">
        <v>240</v>
      </c>
      <c r="F76" s="28" t="s">
        <v>55</v>
      </c>
      <c r="G76" s="25">
        <f>+'Payroll Input'!K24</f>
        <v>2151.7563</v>
      </c>
      <c r="H76" s="60">
        <f t="shared" si="14"/>
        <v>2151.7563</v>
      </c>
      <c r="I76" s="60">
        <f t="shared" si="15"/>
        <v>2151.7563</v>
      </c>
      <c r="J76" s="1" t="str">
        <f t="shared" si="16"/>
        <v>*</v>
      </c>
      <c r="L76" s="25">
        <f t="shared" si="17"/>
        <v>2151.7563</v>
      </c>
      <c r="M76" s="60">
        <f t="shared" si="11"/>
        <v>0</v>
      </c>
      <c r="N76" s="60">
        <f t="shared" si="12"/>
        <v>0</v>
      </c>
      <c r="O76" s="60">
        <f t="shared" si="13"/>
        <v>0</v>
      </c>
    </row>
    <row r="77" spans="1:15" x14ac:dyDescent="0.2">
      <c r="A77" s="21">
        <v>1</v>
      </c>
      <c r="B77" s="28">
        <v>100</v>
      </c>
      <c r="C77" s="28">
        <v>4000</v>
      </c>
      <c r="D77" s="28">
        <v>5100</v>
      </c>
      <c r="E77" s="28">
        <v>250</v>
      </c>
      <c r="F77" s="28" t="s">
        <v>56</v>
      </c>
      <c r="G77" s="25">
        <f>+'Payroll Input'!L24</f>
        <v>1701</v>
      </c>
      <c r="H77" s="60">
        <f t="shared" si="14"/>
        <v>1701</v>
      </c>
      <c r="I77" s="60">
        <f t="shared" si="15"/>
        <v>1701</v>
      </c>
      <c r="J77" s="1" t="str">
        <f t="shared" si="16"/>
        <v>*</v>
      </c>
      <c r="L77" s="25">
        <f t="shared" si="17"/>
        <v>1701</v>
      </c>
      <c r="M77" s="60">
        <f t="shared" si="11"/>
        <v>0</v>
      </c>
      <c r="N77" s="60">
        <f t="shared" si="12"/>
        <v>0</v>
      </c>
      <c r="O77" s="60">
        <f t="shared" si="13"/>
        <v>0</v>
      </c>
    </row>
    <row r="78" spans="1:15" customFormat="1" hidden="1" x14ac:dyDescent="0.2">
      <c r="J78" s="1" t="str">
        <f t="shared" si="16"/>
        <v/>
      </c>
      <c r="L78" s="25">
        <f>IF(E78&lt;300,G78,0)</f>
        <v>0</v>
      </c>
      <c r="M78" s="60">
        <f>IF(B78=490,G78,0)</f>
        <v>0</v>
      </c>
      <c r="N78" s="60">
        <f>IF(B78=432,G78,0)</f>
        <v>0</v>
      </c>
      <c r="O78" s="60">
        <f>IF(B78=410,G78,0)</f>
        <v>0</v>
      </c>
    </row>
    <row r="79" spans="1:15" hidden="1" x14ac:dyDescent="0.2">
      <c r="A79" s="21"/>
      <c r="B79"/>
      <c r="C79"/>
      <c r="D79"/>
      <c r="E79"/>
      <c r="F79"/>
      <c r="G79"/>
      <c r="H79"/>
      <c r="I79"/>
      <c r="J79" s="1" t="str">
        <f>IF(G79&gt;0.49,"*","")</f>
        <v/>
      </c>
      <c r="L79" s="25">
        <f t="shared" si="17"/>
        <v>0</v>
      </c>
      <c r="M79" s="60">
        <f t="shared" si="11"/>
        <v>0</v>
      </c>
      <c r="N79" s="60">
        <f t="shared" si="12"/>
        <v>0</v>
      </c>
      <c r="O79" s="60">
        <f t="shared" si="13"/>
        <v>0</v>
      </c>
    </row>
    <row r="80" spans="1:15" x14ac:dyDescent="0.2">
      <c r="A80" s="21"/>
      <c r="B80" s="28">
        <f>+'Expense Input'!B11</f>
        <v>100</v>
      </c>
      <c r="C80" s="28">
        <f>+'Expense Input'!C11</f>
        <v>4000</v>
      </c>
      <c r="D80" s="28">
        <f>+'Expense Input'!D11</f>
        <v>5100</v>
      </c>
      <c r="E80" s="28">
        <f>+'Expense Input'!E11</f>
        <v>315</v>
      </c>
      <c r="F80" s="28" t="str">
        <f>+'Expense Input'!F11</f>
        <v>Field Trips</v>
      </c>
      <c r="G80" s="60">
        <f>+'Expense Input'!J11</f>
        <v>5000</v>
      </c>
      <c r="H80" s="60">
        <f>+G80/$G$7*$H$7</f>
        <v>2302.6315789473683</v>
      </c>
      <c r="I80" s="60">
        <f>+G80/$G$7*$I$7</f>
        <v>2434.2105263157891</v>
      </c>
      <c r="J80" s="1" t="str">
        <f t="shared" si="16"/>
        <v>*</v>
      </c>
      <c r="L80" s="25">
        <f t="shared" si="17"/>
        <v>0</v>
      </c>
      <c r="M80" s="60">
        <f t="shared" si="11"/>
        <v>0</v>
      </c>
      <c r="N80" s="60">
        <f t="shared" si="12"/>
        <v>0</v>
      </c>
      <c r="O80" s="60">
        <f t="shared" si="13"/>
        <v>0</v>
      </c>
    </row>
    <row r="81" spans="1:15" x14ac:dyDescent="0.2">
      <c r="A81" s="21"/>
      <c r="B81" s="28">
        <f>+'Expense Input'!B12</f>
        <v>100</v>
      </c>
      <c r="C81" s="28">
        <f>+'Expense Input'!C12</f>
        <v>4000</v>
      </c>
      <c r="D81" s="28">
        <f>+'Expense Input'!D12</f>
        <v>5100</v>
      </c>
      <c r="E81" s="28">
        <f>+'Expense Input'!E12</f>
        <v>330</v>
      </c>
      <c r="F81" s="28" t="str">
        <f>+'Expense Input'!F12</f>
        <v>Instructional Travel</v>
      </c>
      <c r="G81" s="60">
        <f>+'Expense Input'!J12</f>
        <v>126.98177995795376</v>
      </c>
      <c r="H81" s="60">
        <f t="shared" ref="H81:H88" si="18">+G81/$G$7*$H$7</f>
        <v>58.478451296426073</v>
      </c>
      <c r="I81" s="60">
        <f t="shared" ref="I81:I88" si="19">+G81/$G$7*$I$7</f>
        <v>61.820077084793276</v>
      </c>
      <c r="J81" s="1" t="str">
        <f t="shared" ref="J81:J88" si="20">IF(G81&gt;0.49,"*","")</f>
        <v>*</v>
      </c>
      <c r="L81" s="25">
        <f t="shared" si="17"/>
        <v>0</v>
      </c>
      <c r="M81" s="60">
        <f t="shared" si="11"/>
        <v>0</v>
      </c>
      <c r="N81" s="60">
        <f t="shared" si="12"/>
        <v>0</v>
      </c>
      <c r="O81" s="60">
        <f t="shared" si="13"/>
        <v>0</v>
      </c>
    </row>
    <row r="82" spans="1:15" x14ac:dyDescent="0.2">
      <c r="A82" s="21"/>
      <c r="B82" s="28">
        <f>+'Expense Input'!B13</f>
        <v>100</v>
      </c>
      <c r="C82" s="28">
        <f>+'Expense Input'!C13</f>
        <v>4000</v>
      </c>
      <c r="D82" s="28">
        <f>+'Expense Input'!D13</f>
        <v>5100</v>
      </c>
      <c r="E82" s="28">
        <f>+'Expense Input'!E13</f>
        <v>390</v>
      </c>
      <c r="F82" s="28" t="str">
        <f>+'Expense Input'!F13</f>
        <v>Instructional Copy and Printing</v>
      </c>
      <c r="G82" s="60">
        <f>+'Expense Input'!J13</f>
        <v>823.30670404111197</v>
      </c>
      <c r="H82" s="60">
        <f t="shared" si="18"/>
        <v>379.15440317682788</v>
      </c>
      <c r="I82" s="60">
        <f t="shared" si="19"/>
        <v>400.82036907264666</v>
      </c>
      <c r="J82" s="1" t="str">
        <f t="shared" si="20"/>
        <v>*</v>
      </c>
      <c r="L82" s="25">
        <f t="shared" si="17"/>
        <v>0</v>
      </c>
      <c r="M82" s="60">
        <f t="shared" si="11"/>
        <v>0</v>
      </c>
      <c r="N82" s="60">
        <f t="shared" si="12"/>
        <v>0</v>
      </c>
      <c r="O82" s="60">
        <f t="shared" si="13"/>
        <v>0</v>
      </c>
    </row>
    <row r="83" spans="1:15" x14ac:dyDescent="0.2">
      <c r="A83" s="21"/>
      <c r="B83" s="28">
        <f>+'Expense Input'!B14</f>
        <v>100</v>
      </c>
      <c r="C83" s="28">
        <f>+'Expense Input'!C14</f>
        <v>4000</v>
      </c>
      <c r="D83" s="28">
        <f>+'Expense Input'!D14</f>
        <v>5100</v>
      </c>
      <c r="E83" s="28">
        <f>+'Expense Input'!E14</f>
        <v>510</v>
      </c>
      <c r="F83" s="28" t="str">
        <f>+'Expense Input'!F14</f>
        <v>Instructional Materials</v>
      </c>
      <c r="G83" s="60">
        <f>+'Expense Input'!J14</f>
        <v>15886.29351753596</v>
      </c>
      <c r="H83" s="60">
        <f t="shared" si="18"/>
        <v>7316.0562251810343</v>
      </c>
      <c r="I83" s="60">
        <f t="shared" si="19"/>
        <v>7734.1165809056647</v>
      </c>
      <c r="J83" s="1" t="str">
        <f t="shared" si="20"/>
        <v>*</v>
      </c>
      <c r="L83" s="25">
        <f t="shared" si="17"/>
        <v>0</v>
      </c>
      <c r="M83" s="60">
        <f t="shared" si="11"/>
        <v>0</v>
      </c>
      <c r="N83" s="60">
        <f t="shared" si="12"/>
        <v>0</v>
      </c>
      <c r="O83" s="60">
        <f t="shared" si="13"/>
        <v>0</v>
      </c>
    </row>
    <row r="84" spans="1:15" x14ac:dyDescent="0.2">
      <c r="A84" s="21"/>
      <c r="B84" s="28">
        <f>+'Expense Input'!B15</f>
        <v>100</v>
      </c>
      <c r="C84" s="28">
        <f>+'Expense Input'!C15</f>
        <v>4000</v>
      </c>
      <c r="D84" s="28">
        <f>+'Expense Input'!D15</f>
        <v>5100</v>
      </c>
      <c r="E84" s="28">
        <f>+'Expense Input'!E15</f>
        <v>515</v>
      </c>
      <c r="F84" s="28" t="str">
        <f>+'Expense Input'!F15</f>
        <v>Graduation</v>
      </c>
      <c r="G84" s="60">
        <f>+'Expense Input'!J15</f>
        <v>20271.710346836066</v>
      </c>
      <c r="H84" s="60">
        <f t="shared" si="18"/>
        <v>9335.6560807797669</v>
      </c>
      <c r="I84" s="60">
        <f t="shared" si="19"/>
        <v>9869.1221425386102</v>
      </c>
      <c r="J84" s="1" t="str">
        <f t="shared" si="20"/>
        <v>*</v>
      </c>
      <c r="L84" s="25">
        <f t="shared" si="17"/>
        <v>0</v>
      </c>
      <c r="M84" s="60">
        <f t="shared" si="11"/>
        <v>0</v>
      </c>
      <c r="N84" s="60">
        <f t="shared" si="12"/>
        <v>0</v>
      </c>
      <c r="O84" s="60">
        <f t="shared" si="13"/>
        <v>0</v>
      </c>
    </row>
    <row r="85" spans="1:15" x14ac:dyDescent="0.2">
      <c r="A85" s="21"/>
      <c r="B85" s="28">
        <f>+'Expense Input'!B16</f>
        <v>100</v>
      </c>
      <c r="C85" s="28">
        <f>+'Expense Input'!C16</f>
        <v>4000</v>
      </c>
      <c r="D85" s="28">
        <f>+'Expense Input'!D16</f>
        <v>5100</v>
      </c>
      <c r="E85" s="28">
        <f>+'Expense Input'!E16</f>
        <v>520</v>
      </c>
      <c r="F85" s="28" t="str">
        <f>+'Expense Input'!F16</f>
        <v>Instructional Textbooks</v>
      </c>
      <c r="G85" s="60">
        <f>+'Expense Input'!J16</f>
        <v>7600</v>
      </c>
      <c r="H85" s="60">
        <f t="shared" si="18"/>
        <v>3500</v>
      </c>
      <c r="I85" s="60">
        <f t="shared" si="19"/>
        <v>3700</v>
      </c>
      <c r="J85" s="1" t="str">
        <f t="shared" si="20"/>
        <v>*</v>
      </c>
      <c r="L85" s="25">
        <f t="shared" si="17"/>
        <v>0</v>
      </c>
      <c r="M85" s="60">
        <f t="shared" si="11"/>
        <v>0</v>
      </c>
      <c r="N85" s="60">
        <f t="shared" si="12"/>
        <v>0</v>
      </c>
      <c r="O85" s="60">
        <f t="shared" si="13"/>
        <v>0</v>
      </c>
    </row>
    <row r="86" spans="1:15" x14ac:dyDescent="0.2">
      <c r="A86" s="21"/>
      <c r="B86" s="28">
        <f>+'Expense Input'!B17</f>
        <v>100</v>
      </c>
      <c r="C86" s="28">
        <f>+'Expense Input'!C17</f>
        <v>4000</v>
      </c>
      <c r="D86" s="28">
        <f>+'Expense Input'!D17</f>
        <v>5100</v>
      </c>
      <c r="E86" s="28">
        <f>+'Expense Input'!E17</f>
        <v>640</v>
      </c>
      <c r="F86" s="28" t="str">
        <f>+'Expense Input'!F17</f>
        <v>Instructional Furniture and Equipment</v>
      </c>
      <c r="G86" s="60">
        <f>+'Expense Input'!J17</f>
        <v>24000</v>
      </c>
      <c r="H86" s="60">
        <f t="shared" si="18"/>
        <v>11052.631578947368</v>
      </c>
      <c r="I86" s="60">
        <f t="shared" si="19"/>
        <v>11684.210526315788</v>
      </c>
      <c r="J86" s="1" t="str">
        <f t="shared" si="20"/>
        <v>*</v>
      </c>
      <c r="L86" s="25">
        <f t="shared" si="17"/>
        <v>0</v>
      </c>
      <c r="M86" s="60">
        <f t="shared" si="11"/>
        <v>0</v>
      </c>
      <c r="N86" s="60">
        <f t="shared" si="12"/>
        <v>0</v>
      </c>
      <c r="O86" s="60">
        <f t="shared" si="13"/>
        <v>0</v>
      </c>
    </row>
    <row r="87" spans="1:15" x14ac:dyDescent="0.2">
      <c r="A87" s="21"/>
      <c r="B87" s="28">
        <f>+'Expense Input'!B18</f>
        <v>100</v>
      </c>
      <c r="C87" s="28">
        <f>+'Expense Input'!C18</f>
        <v>4000</v>
      </c>
      <c r="D87" s="28">
        <f>+'Expense Input'!D18</f>
        <v>5100</v>
      </c>
      <c r="E87" s="28">
        <f>+'Expense Input'!E18</f>
        <v>643</v>
      </c>
      <c r="F87" s="28" t="str">
        <f>+'Expense Input'!F18</f>
        <v>Instructional Computer Hardware</v>
      </c>
      <c r="G87" s="60">
        <f>+'Expense Input'!J18</f>
        <v>60000</v>
      </c>
      <c r="H87" s="60">
        <f t="shared" si="18"/>
        <v>27631.57894736842</v>
      </c>
      <c r="I87" s="60">
        <f t="shared" si="19"/>
        <v>29210.526315789473</v>
      </c>
      <c r="J87" s="1" t="str">
        <f t="shared" si="20"/>
        <v>*</v>
      </c>
      <c r="L87" s="25">
        <f t="shared" si="17"/>
        <v>0</v>
      </c>
      <c r="M87" s="60">
        <f t="shared" si="11"/>
        <v>0</v>
      </c>
      <c r="N87" s="60">
        <f t="shared" si="12"/>
        <v>0</v>
      </c>
      <c r="O87" s="60">
        <f t="shared" si="13"/>
        <v>0</v>
      </c>
    </row>
    <row r="88" spans="1:15" x14ac:dyDescent="0.2">
      <c r="A88" s="21"/>
      <c r="B88" s="28">
        <f>+'Expense Input'!B19</f>
        <v>100</v>
      </c>
      <c r="C88" s="28">
        <f>+'Expense Input'!C19</f>
        <v>4000</v>
      </c>
      <c r="D88" s="28">
        <f>+'Expense Input'!D19</f>
        <v>5100</v>
      </c>
      <c r="E88" s="28">
        <f>+'Expense Input'!E19</f>
        <v>690</v>
      </c>
      <c r="F88" s="28" t="str">
        <f>+'Expense Input'!F19</f>
        <v>Instructional Classroom Software</v>
      </c>
      <c r="G88" s="60">
        <f>+'Expense Input'!J19</f>
        <v>92000</v>
      </c>
      <c r="H88" s="60">
        <f t="shared" si="18"/>
        <v>42368.42105263158</v>
      </c>
      <c r="I88" s="60">
        <f t="shared" si="19"/>
        <v>44789.473684210527</v>
      </c>
      <c r="J88" s="1" t="str">
        <f t="shared" si="20"/>
        <v>*</v>
      </c>
      <c r="L88" s="25">
        <f t="shared" si="17"/>
        <v>0</v>
      </c>
      <c r="M88" s="60">
        <f t="shared" si="11"/>
        <v>0</v>
      </c>
      <c r="N88" s="60">
        <f t="shared" si="12"/>
        <v>0</v>
      </c>
      <c r="O88" s="60">
        <f t="shared" si="13"/>
        <v>0</v>
      </c>
    </row>
    <row r="89" spans="1:15" hidden="1" x14ac:dyDescent="0.2">
      <c r="A89" s="21"/>
      <c r="B89" s="28"/>
      <c r="C89" s="28"/>
      <c r="D89" s="28"/>
      <c r="E89" s="28"/>
      <c r="F89" s="28"/>
      <c r="G89" s="60"/>
      <c r="H89" s="60"/>
      <c r="I89" s="60"/>
      <c r="L89" s="25">
        <f t="shared" si="17"/>
        <v>0</v>
      </c>
      <c r="M89" s="60">
        <f t="shared" si="11"/>
        <v>0</v>
      </c>
      <c r="N89" s="60">
        <f t="shared" si="12"/>
        <v>0</v>
      </c>
      <c r="O89" s="60">
        <f t="shared" si="13"/>
        <v>0</v>
      </c>
    </row>
    <row r="90" spans="1:15" hidden="1" x14ac:dyDescent="0.2">
      <c r="A90" s="21"/>
      <c r="B90" s="28"/>
      <c r="C90" s="28"/>
      <c r="D90" s="28"/>
      <c r="E90" s="28"/>
      <c r="F90" s="28"/>
      <c r="G90" s="60"/>
      <c r="H90" s="60"/>
      <c r="I90" s="60"/>
      <c r="L90" s="25">
        <f t="shared" si="17"/>
        <v>0</v>
      </c>
      <c r="M90" s="60">
        <f t="shared" si="11"/>
        <v>0</v>
      </c>
      <c r="N90" s="60">
        <f t="shared" si="12"/>
        <v>0</v>
      </c>
      <c r="O90" s="60">
        <f t="shared" si="13"/>
        <v>0</v>
      </c>
    </row>
    <row r="91" spans="1:15" hidden="1" x14ac:dyDescent="0.2">
      <c r="A91" s="21"/>
      <c r="B91" s="28"/>
      <c r="C91" s="28"/>
      <c r="D91" s="28"/>
      <c r="E91" s="28"/>
      <c r="F91" s="28"/>
      <c r="G91" s="60"/>
      <c r="H91" s="60"/>
      <c r="I91" s="60"/>
      <c r="L91" s="25">
        <f t="shared" si="17"/>
        <v>0</v>
      </c>
      <c r="M91" s="60">
        <f t="shared" si="11"/>
        <v>0</v>
      </c>
      <c r="N91" s="60">
        <f t="shared" si="12"/>
        <v>0</v>
      </c>
      <c r="O91" s="60">
        <f t="shared" si="13"/>
        <v>0</v>
      </c>
    </row>
    <row r="92" spans="1:15" hidden="1" x14ac:dyDescent="0.2">
      <c r="A92" s="21"/>
      <c r="B92" s="28"/>
      <c r="C92" s="28"/>
      <c r="D92" s="28"/>
      <c r="E92" s="28"/>
      <c r="F92" s="28"/>
      <c r="G92" s="60"/>
      <c r="H92" s="60"/>
      <c r="I92" s="60"/>
      <c r="L92" s="25">
        <f t="shared" si="17"/>
        <v>0</v>
      </c>
      <c r="M92" s="60">
        <f t="shared" si="11"/>
        <v>0</v>
      </c>
      <c r="N92" s="60">
        <f t="shared" si="12"/>
        <v>0</v>
      </c>
      <c r="O92" s="60">
        <f t="shared" si="13"/>
        <v>0</v>
      </c>
    </row>
    <row r="93" spans="1:15" hidden="1" x14ac:dyDescent="0.2">
      <c r="A93" s="21"/>
      <c r="B93" s="28"/>
      <c r="C93" s="28"/>
      <c r="D93" s="28"/>
      <c r="E93" s="28"/>
      <c r="F93" s="28"/>
      <c r="G93" s="60"/>
      <c r="H93" s="60"/>
      <c r="I93" s="60"/>
      <c r="L93" s="25">
        <f t="shared" si="17"/>
        <v>0</v>
      </c>
      <c r="M93" s="60">
        <f t="shared" si="11"/>
        <v>0</v>
      </c>
      <c r="N93" s="60">
        <f t="shared" si="12"/>
        <v>0</v>
      </c>
      <c r="O93" s="60">
        <f t="shared" si="13"/>
        <v>0</v>
      </c>
    </row>
    <row r="94" spans="1:15" hidden="1" x14ac:dyDescent="0.2">
      <c r="A94" s="21"/>
      <c r="B94" s="28"/>
      <c r="C94" s="28"/>
      <c r="D94" s="28"/>
      <c r="E94" s="28"/>
      <c r="F94" s="28"/>
      <c r="G94" s="60"/>
      <c r="H94" s="60"/>
      <c r="I94" s="60"/>
      <c r="L94" s="25">
        <f t="shared" si="17"/>
        <v>0</v>
      </c>
      <c r="M94" s="60">
        <f t="shared" si="11"/>
        <v>0</v>
      </c>
      <c r="N94" s="60">
        <f t="shared" si="12"/>
        <v>0</v>
      </c>
      <c r="O94" s="60">
        <f t="shared" si="13"/>
        <v>0</v>
      </c>
    </row>
    <row r="95" spans="1:15" hidden="1" x14ac:dyDescent="0.2">
      <c r="A95" s="21"/>
      <c r="B95" s="28"/>
      <c r="C95" s="28"/>
      <c r="D95" s="28"/>
      <c r="E95" s="28"/>
      <c r="F95" s="28"/>
      <c r="G95" s="60"/>
      <c r="H95" s="60">
        <f t="shared" ref="H95:H103" si="21">+G95/$G$7*$H$7</f>
        <v>0</v>
      </c>
      <c r="I95" s="60">
        <f t="shared" ref="I95:I103" si="22">+G95/$G$7*$I$7</f>
        <v>0</v>
      </c>
      <c r="J95" s="1" t="str">
        <f t="shared" si="16"/>
        <v/>
      </c>
      <c r="L95" s="25">
        <f t="shared" si="17"/>
        <v>0</v>
      </c>
      <c r="M95" s="60">
        <f t="shared" si="11"/>
        <v>0</v>
      </c>
      <c r="N95" s="60">
        <f t="shared" si="12"/>
        <v>0</v>
      </c>
      <c r="O95" s="60">
        <f t="shared" si="13"/>
        <v>0</v>
      </c>
    </row>
    <row r="96" spans="1:15" hidden="1" x14ac:dyDescent="0.2">
      <c r="A96" s="21"/>
      <c r="B96" s="28"/>
      <c r="C96" s="28"/>
      <c r="D96" s="28"/>
      <c r="E96" s="28"/>
      <c r="F96" s="28"/>
      <c r="G96" s="60"/>
      <c r="H96" s="60">
        <f t="shared" si="21"/>
        <v>0</v>
      </c>
      <c r="I96" s="60">
        <f t="shared" si="22"/>
        <v>0</v>
      </c>
      <c r="J96" s="1" t="str">
        <f t="shared" si="16"/>
        <v/>
      </c>
      <c r="L96" s="25">
        <f t="shared" si="17"/>
        <v>0</v>
      </c>
      <c r="M96" s="60">
        <f t="shared" si="11"/>
        <v>0</v>
      </c>
      <c r="N96" s="60">
        <f t="shared" si="12"/>
        <v>0</v>
      </c>
      <c r="O96" s="60">
        <f t="shared" si="13"/>
        <v>0</v>
      </c>
    </row>
    <row r="97" spans="1:17" hidden="1" x14ac:dyDescent="0.2">
      <c r="A97" s="21"/>
      <c r="B97" s="28"/>
      <c r="C97" s="28"/>
      <c r="D97" s="28"/>
      <c r="E97" s="28"/>
      <c r="F97" s="28"/>
      <c r="G97" s="60"/>
      <c r="H97" s="60">
        <f t="shared" si="21"/>
        <v>0</v>
      </c>
      <c r="I97" s="60">
        <f t="shared" si="22"/>
        <v>0</v>
      </c>
      <c r="J97" s="1" t="str">
        <f t="shared" si="16"/>
        <v/>
      </c>
      <c r="L97" s="25">
        <f t="shared" si="17"/>
        <v>0</v>
      </c>
      <c r="M97" s="60">
        <f t="shared" si="11"/>
        <v>0</v>
      </c>
      <c r="N97" s="60">
        <f t="shared" si="12"/>
        <v>0</v>
      </c>
      <c r="O97" s="60">
        <f t="shared" si="13"/>
        <v>0</v>
      </c>
    </row>
    <row r="98" spans="1:17" hidden="1" x14ac:dyDescent="0.2">
      <c r="A98" s="21"/>
      <c r="B98" s="28"/>
      <c r="C98" s="28"/>
      <c r="D98" s="28"/>
      <c r="E98" s="28"/>
      <c r="F98" s="28"/>
      <c r="G98" s="60"/>
      <c r="H98" s="60">
        <f t="shared" si="21"/>
        <v>0</v>
      </c>
      <c r="I98" s="60">
        <f t="shared" si="22"/>
        <v>0</v>
      </c>
      <c r="J98" s="1" t="str">
        <f t="shared" si="16"/>
        <v/>
      </c>
      <c r="L98" s="25">
        <f t="shared" si="17"/>
        <v>0</v>
      </c>
      <c r="M98" s="60">
        <f t="shared" si="11"/>
        <v>0</v>
      </c>
      <c r="N98" s="60">
        <f t="shared" si="12"/>
        <v>0</v>
      </c>
      <c r="O98" s="60">
        <f t="shared" si="13"/>
        <v>0</v>
      </c>
    </row>
    <row r="99" spans="1:17" hidden="1" x14ac:dyDescent="0.2">
      <c r="A99" s="21"/>
      <c r="B99" s="28"/>
      <c r="C99" s="28"/>
      <c r="D99" s="28"/>
      <c r="E99" s="28"/>
      <c r="F99" s="28"/>
      <c r="G99" s="60"/>
      <c r="H99" s="60">
        <f t="shared" si="21"/>
        <v>0</v>
      </c>
      <c r="I99" s="60">
        <f t="shared" si="22"/>
        <v>0</v>
      </c>
      <c r="J99" s="1" t="str">
        <f t="shared" si="16"/>
        <v/>
      </c>
      <c r="L99" s="25">
        <f t="shared" si="17"/>
        <v>0</v>
      </c>
      <c r="M99" s="60">
        <f t="shared" si="11"/>
        <v>0</v>
      </c>
      <c r="N99" s="60">
        <f t="shared" si="12"/>
        <v>0</v>
      </c>
      <c r="O99" s="60">
        <f t="shared" si="13"/>
        <v>0</v>
      </c>
    </row>
    <row r="100" spans="1:17" hidden="1" x14ac:dyDescent="0.2">
      <c r="A100" s="21"/>
      <c r="B100" s="28"/>
      <c r="C100" s="28"/>
      <c r="D100" s="28"/>
      <c r="E100" s="28"/>
      <c r="F100" s="28"/>
      <c r="G100" s="60"/>
      <c r="H100" s="60">
        <f t="shared" si="21"/>
        <v>0</v>
      </c>
      <c r="I100" s="60">
        <f t="shared" si="22"/>
        <v>0</v>
      </c>
      <c r="J100" s="1" t="str">
        <f t="shared" si="16"/>
        <v/>
      </c>
      <c r="L100" s="25">
        <f t="shared" si="17"/>
        <v>0</v>
      </c>
      <c r="M100" s="60">
        <f t="shared" si="11"/>
        <v>0</v>
      </c>
      <c r="N100" s="60">
        <f t="shared" si="12"/>
        <v>0</v>
      </c>
      <c r="O100" s="60">
        <f t="shared" si="13"/>
        <v>0</v>
      </c>
    </row>
    <row r="101" spans="1:17" hidden="1" x14ac:dyDescent="0.2">
      <c r="A101" s="21"/>
      <c r="B101" s="28"/>
      <c r="C101" s="28"/>
      <c r="D101" s="28"/>
      <c r="E101" s="28"/>
      <c r="F101" s="28"/>
      <c r="G101" s="60"/>
      <c r="H101" s="60">
        <f t="shared" si="21"/>
        <v>0</v>
      </c>
      <c r="I101" s="60">
        <f t="shared" si="22"/>
        <v>0</v>
      </c>
      <c r="J101" s="1" t="str">
        <f t="shared" si="16"/>
        <v/>
      </c>
      <c r="L101" s="25">
        <f t="shared" si="17"/>
        <v>0</v>
      </c>
      <c r="M101" s="60">
        <f t="shared" si="11"/>
        <v>0</v>
      </c>
      <c r="N101" s="60">
        <f t="shared" si="12"/>
        <v>0</v>
      </c>
      <c r="O101" s="60">
        <f t="shared" si="13"/>
        <v>0</v>
      </c>
    </row>
    <row r="102" spans="1:17" hidden="1" x14ac:dyDescent="0.2">
      <c r="A102" s="21"/>
      <c r="B102" s="28"/>
      <c r="C102" s="28"/>
      <c r="D102" s="28"/>
      <c r="E102" s="28"/>
      <c r="F102" s="28"/>
      <c r="G102" s="60"/>
      <c r="H102" s="60">
        <f t="shared" si="21"/>
        <v>0</v>
      </c>
      <c r="I102" s="60">
        <f t="shared" si="22"/>
        <v>0</v>
      </c>
      <c r="J102" s="1" t="str">
        <f t="shared" si="16"/>
        <v/>
      </c>
      <c r="L102" s="25">
        <f t="shared" si="17"/>
        <v>0</v>
      </c>
      <c r="M102" s="60">
        <f t="shared" si="11"/>
        <v>0</v>
      </c>
      <c r="N102" s="60">
        <f t="shared" si="12"/>
        <v>0</v>
      </c>
      <c r="O102" s="60">
        <f t="shared" si="13"/>
        <v>0</v>
      </c>
    </row>
    <row r="103" spans="1:17" hidden="1" x14ac:dyDescent="0.2">
      <c r="A103" s="21"/>
      <c r="B103" s="28"/>
      <c r="C103" s="28"/>
      <c r="D103" s="28"/>
      <c r="E103" s="28"/>
      <c r="F103" s="28"/>
      <c r="G103" s="60"/>
      <c r="H103" s="60">
        <f t="shared" si="21"/>
        <v>0</v>
      </c>
      <c r="I103" s="60">
        <f t="shared" si="22"/>
        <v>0</v>
      </c>
      <c r="J103" s="1" t="str">
        <f t="shared" si="16"/>
        <v/>
      </c>
      <c r="L103" s="25">
        <f t="shared" si="17"/>
        <v>0</v>
      </c>
      <c r="M103" s="60">
        <f t="shared" si="11"/>
        <v>0</v>
      </c>
      <c r="N103" s="60">
        <f t="shared" si="12"/>
        <v>0</v>
      </c>
      <c r="O103" s="60">
        <f t="shared" si="13"/>
        <v>0</v>
      </c>
    </row>
    <row r="104" spans="1:17" x14ac:dyDescent="0.2">
      <c r="A104" s="21"/>
      <c r="B104" s="28"/>
      <c r="C104" s="28"/>
      <c r="D104" s="28"/>
      <c r="E104" s="28"/>
      <c r="F104" s="28"/>
      <c r="J104" s="1" t="str">
        <f>IF(J105="*","*","")</f>
        <v>*</v>
      </c>
      <c r="L104" s="25">
        <f t="shared" si="17"/>
        <v>0</v>
      </c>
      <c r="M104" s="60">
        <f t="shared" si="11"/>
        <v>0</v>
      </c>
      <c r="N104" s="60">
        <f>IF(A104=432,F104,0)</f>
        <v>0</v>
      </c>
      <c r="O104" s="60">
        <f>IF(B104=432,G104,0)</f>
        <v>0</v>
      </c>
    </row>
    <row r="105" spans="1:17" x14ac:dyDescent="0.2">
      <c r="A105" s="21"/>
      <c r="B105" s="13"/>
      <c r="C105" s="13"/>
      <c r="D105" s="13"/>
      <c r="E105" s="13"/>
      <c r="F105" s="18" t="s">
        <v>33</v>
      </c>
      <c r="G105" s="26">
        <f>SUM(G69:G104)</f>
        <v>751888.14594837104</v>
      </c>
      <c r="H105" s="26">
        <f>SUM(H69:H104)</f>
        <v>630124.46191832901</v>
      </c>
      <c r="I105" s="26">
        <f>SUM(I69:I104)</f>
        <v>636064.15382223343</v>
      </c>
      <c r="J105" s="1" t="str">
        <f t="shared" si="16"/>
        <v>*</v>
      </c>
      <c r="L105" s="26">
        <f>SUM(L69:L104)</f>
        <v>526179.85360000003</v>
      </c>
      <c r="M105" s="26">
        <f>SUM(M69:M104)</f>
        <v>0</v>
      </c>
      <c r="N105" s="26">
        <f>SUM(N69:N104)</f>
        <v>0</v>
      </c>
      <c r="O105" s="26">
        <f>SUM(O69:O104)</f>
        <v>0</v>
      </c>
    </row>
    <row r="106" spans="1:17" x14ac:dyDescent="0.2">
      <c r="A106" s="21"/>
      <c r="B106" s="1"/>
      <c r="C106" s="1"/>
      <c r="D106" s="1"/>
      <c r="E106" s="1"/>
      <c r="F106" s="13"/>
      <c r="J106" s="1" t="str">
        <f>IF(J105="*","*","")</f>
        <v>*</v>
      </c>
      <c r="L106" s="25">
        <f t="shared" si="17"/>
        <v>0</v>
      </c>
      <c r="M106" s="60">
        <f t="shared" ref="M106:M120" si="23">IF(B106=490,G106,0)</f>
        <v>0</v>
      </c>
      <c r="N106" s="60">
        <f>IF(A106=432,F106,0)</f>
        <v>0</v>
      </c>
      <c r="O106" s="60">
        <f>IF(B106=432,G106,0)</f>
        <v>0</v>
      </c>
    </row>
    <row r="107" spans="1:17" x14ac:dyDescent="0.2">
      <c r="A107" s="21"/>
      <c r="B107" s="48">
        <v>100</v>
      </c>
      <c r="C107" s="48">
        <v>4000</v>
      </c>
      <c r="D107" s="48">
        <v>5200</v>
      </c>
      <c r="E107" s="48">
        <v>120</v>
      </c>
      <c r="F107" s="48" t="s">
        <v>78</v>
      </c>
      <c r="G107" s="24">
        <f>+'Payroll Input'!E43</f>
        <v>234223.75</v>
      </c>
      <c r="H107" s="60">
        <f t="shared" ref="H107:I113" si="24">+G107</f>
        <v>234223.75</v>
      </c>
      <c r="I107" s="60">
        <f t="shared" si="24"/>
        <v>234223.75</v>
      </c>
      <c r="J107" s="1" t="str">
        <f t="shared" si="16"/>
        <v>*</v>
      </c>
      <c r="L107" s="25">
        <f t="shared" si="17"/>
        <v>234223.75</v>
      </c>
      <c r="M107" s="60">
        <f t="shared" si="23"/>
        <v>0</v>
      </c>
      <c r="N107" s="60">
        <f t="shared" ref="N107:N119" si="25">IF(B107=432,G107,0)</f>
        <v>0</v>
      </c>
      <c r="O107" s="60">
        <f t="shared" ref="O107:O119" si="26">IF(B107=410,G107,0)</f>
        <v>0</v>
      </c>
      <c r="Q107" s="89"/>
    </row>
    <row r="108" spans="1:17" x14ac:dyDescent="0.2">
      <c r="A108" s="21"/>
      <c r="B108" s="28">
        <v>100</v>
      </c>
      <c r="C108" s="28">
        <v>4000</v>
      </c>
      <c r="D108" s="28">
        <v>5200</v>
      </c>
      <c r="E108" s="28">
        <v>150</v>
      </c>
      <c r="F108" s="28" t="s">
        <v>94</v>
      </c>
      <c r="G108" s="25">
        <f>+'Payroll Input'!E51</f>
        <v>43753</v>
      </c>
      <c r="H108" s="60">
        <f t="shared" si="24"/>
        <v>43753</v>
      </c>
      <c r="I108" s="60">
        <f t="shared" si="24"/>
        <v>43753</v>
      </c>
      <c r="J108" s="1" t="str">
        <f t="shared" si="16"/>
        <v>*</v>
      </c>
      <c r="L108" s="25">
        <f t="shared" si="17"/>
        <v>43753</v>
      </c>
      <c r="M108" s="60">
        <f t="shared" si="23"/>
        <v>0</v>
      </c>
      <c r="N108" s="60">
        <f t="shared" si="25"/>
        <v>0</v>
      </c>
      <c r="O108" s="60">
        <f t="shared" si="26"/>
        <v>0</v>
      </c>
    </row>
    <row r="109" spans="1:17" x14ac:dyDescent="0.2">
      <c r="A109" s="21"/>
      <c r="B109" s="28">
        <v>100</v>
      </c>
      <c r="C109" s="28">
        <v>4000</v>
      </c>
      <c r="D109" s="28">
        <v>5200</v>
      </c>
      <c r="E109" s="28">
        <v>210</v>
      </c>
      <c r="F109" s="28" t="s">
        <v>52</v>
      </c>
      <c r="G109" s="25">
        <f>+'Payroll Input'!F43+'Payroll Input'!F51</f>
        <v>10451.925800000001</v>
      </c>
      <c r="H109" s="60">
        <f t="shared" si="24"/>
        <v>10451.925800000001</v>
      </c>
      <c r="I109" s="60">
        <f t="shared" si="24"/>
        <v>10451.925800000001</v>
      </c>
      <c r="J109" s="1" t="str">
        <f t="shared" si="16"/>
        <v>*</v>
      </c>
      <c r="L109" s="25">
        <f t="shared" si="17"/>
        <v>10451.925800000001</v>
      </c>
      <c r="M109" s="60">
        <f t="shared" si="23"/>
        <v>0</v>
      </c>
      <c r="N109" s="60">
        <f t="shared" si="25"/>
        <v>0</v>
      </c>
      <c r="O109" s="60">
        <f t="shared" si="26"/>
        <v>0</v>
      </c>
    </row>
    <row r="110" spans="1:17" x14ac:dyDescent="0.2">
      <c r="A110" s="21"/>
      <c r="B110" s="28">
        <v>100</v>
      </c>
      <c r="C110" s="28">
        <v>4000</v>
      </c>
      <c r="D110" s="28">
        <v>5200</v>
      </c>
      <c r="E110" s="28">
        <v>220</v>
      </c>
      <c r="F110" s="28" t="s">
        <v>53</v>
      </c>
      <c r="G110" s="25">
        <f>+'Payroll Input'!H43+'Payroll Input'!H51</f>
        <v>21265.221375000001</v>
      </c>
      <c r="H110" s="60">
        <f t="shared" si="24"/>
        <v>21265.221375000001</v>
      </c>
      <c r="I110" s="60">
        <f t="shared" si="24"/>
        <v>21265.221375000001</v>
      </c>
      <c r="J110" s="1" t="str">
        <f t="shared" si="16"/>
        <v>*</v>
      </c>
      <c r="L110" s="25">
        <f t="shared" si="17"/>
        <v>21265.221375000001</v>
      </c>
      <c r="M110" s="60">
        <f t="shared" si="23"/>
        <v>0</v>
      </c>
      <c r="N110" s="60">
        <f t="shared" si="25"/>
        <v>0</v>
      </c>
      <c r="O110" s="60">
        <f t="shared" si="26"/>
        <v>0</v>
      </c>
    </row>
    <row r="111" spans="1:17" x14ac:dyDescent="0.2">
      <c r="A111" s="21"/>
      <c r="B111" s="28">
        <v>100</v>
      </c>
      <c r="C111" s="28">
        <v>4000</v>
      </c>
      <c r="D111" s="28">
        <v>5200</v>
      </c>
      <c r="E111" s="28">
        <v>230</v>
      </c>
      <c r="F111" s="28" t="s">
        <v>54</v>
      </c>
      <c r="G111" s="25">
        <f>+'Payroll Input'!I43+'Payroll Input'!I51</f>
        <v>43561.520000000004</v>
      </c>
      <c r="H111" s="60">
        <f t="shared" si="24"/>
        <v>43561.520000000004</v>
      </c>
      <c r="I111" s="60">
        <f t="shared" si="24"/>
        <v>43561.520000000004</v>
      </c>
      <c r="J111" s="1" t="str">
        <f t="shared" si="16"/>
        <v>*</v>
      </c>
      <c r="L111" s="25">
        <f t="shared" si="17"/>
        <v>43561.520000000004</v>
      </c>
      <c r="M111" s="60">
        <f t="shared" si="23"/>
        <v>0</v>
      </c>
      <c r="N111" s="60">
        <f t="shared" si="25"/>
        <v>0</v>
      </c>
      <c r="O111" s="60">
        <f t="shared" si="26"/>
        <v>0</v>
      </c>
    </row>
    <row r="112" spans="1:17" x14ac:dyDescent="0.2">
      <c r="A112" s="21"/>
      <c r="B112" s="28">
        <v>100</v>
      </c>
      <c r="C112" s="28">
        <v>4000</v>
      </c>
      <c r="D112" s="28">
        <v>5200</v>
      </c>
      <c r="E112" s="28">
        <v>240</v>
      </c>
      <c r="F112" s="28" t="s">
        <v>55</v>
      </c>
      <c r="G112" s="25">
        <f>+'Payroll Input'!K43+'Payroll Input'!K51</f>
        <v>1417.6814250000002</v>
      </c>
      <c r="H112" s="60">
        <f t="shared" si="24"/>
        <v>1417.6814250000002</v>
      </c>
      <c r="I112" s="60">
        <f t="shared" si="24"/>
        <v>1417.6814250000002</v>
      </c>
      <c r="J112" s="1" t="str">
        <f t="shared" si="16"/>
        <v>*</v>
      </c>
      <c r="L112" s="25">
        <f t="shared" si="17"/>
        <v>1417.6814250000002</v>
      </c>
      <c r="M112" s="60">
        <f t="shared" si="23"/>
        <v>0</v>
      </c>
      <c r="N112" s="60">
        <f t="shared" si="25"/>
        <v>0</v>
      </c>
      <c r="O112" s="60">
        <f t="shared" si="26"/>
        <v>0</v>
      </c>
    </row>
    <row r="113" spans="1:15" x14ac:dyDescent="0.2">
      <c r="A113" s="21"/>
      <c r="B113" s="28">
        <v>100</v>
      </c>
      <c r="C113" s="28">
        <v>4000</v>
      </c>
      <c r="D113" s="28">
        <v>5200</v>
      </c>
      <c r="E113" s="28">
        <v>250</v>
      </c>
      <c r="F113" s="28" t="s">
        <v>56</v>
      </c>
      <c r="G113" s="25">
        <f>+'Payroll Input'!L43+'Payroll Input'!L51</f>
        <v>1323</v>
      </c>
      <c r="H113" s="60">
        <f t="shared" si="24"/>
        <v>1323</v>
      </c>
      <c r="I113" s="60">
        <f t="shared" si="24"/>
        <v>1323</v>
      </c>
      <c r="J113" s="1" t="str">
        <f t="shared" si="16"/>
        <v>*</v>
      </c>
      <c r="L113" s="25">
        <f t="shared" si="17"/>
        <v>1323</v>
      </c>
      <c r="M113" s="60">
        <f t="shared" si="23"/>
        <v>0</v>
      </c>
      <c r="N113" s="60">
        <f t="shared" si="25"/>
        <v>0</v>
      </c>
      <c r="O113" s="60">
        <f t="shared" si="26"/>
        <v>0</v>
      </c>
    </row>
    <row r="114" spans="1:15" hidden="1" x14ac:dyDescent="0.2">
      <c r="A114" s="21"/>
      <c r="B114" s="28"/>
      <c r="C114" s="28"/>
      <c r="D114" s="28"/>
      <c r="E114" s="28"/>
      <c r="F114" s="28"/>
      <c r="G114" s="60"/>
      <c r="H114" s="60"/>
      <c r="I114" s="60"/>
      <c r="J114" s="1" t="str">
        <f t="shared" si="16"/>
        <v/>
      </c>
      <c r="L114" s="25">
        <f>IF(E114&lt;300,G114,0)</f>
        <v>0</v>
      </c>
      <c r="M114" s="60">
        <f>IF(B114=490,G114,0)</f>
        <v>0</v>
      </c>
      <c r="N114" s="60">
        <f>IF(B114=432,G114,0)</f>
        <v>0</v>
      </c>
      <c r="O114" s="60">
        <f>IF(B114=410,G114,0)</f>
        <v>0</v>
      </c>
    </row>
    <row r="115" spans="1:15" x14ac:dyDescent="0.2">
      <c r="A115" s="21"/>
      <c r="B115" s="28">
        <f>+'Expense Input'!B20</f>
        <v>100</v>
      </c>
      <c r="C115" s="28">
        <f>+'Expense Input'!C20</f>
        <v>4000</v>
      </c>
      <c r="D115" s="28">
        <f>+'Expense Input'!D20</f>
        <v>5200</v>
      </c>
      <c r="E115" s="28">
        <f>+'Expense Input'!E20</f>
        <v>310</v>
      </c>
      <c r="F115" s="28" t="str">
        <f>+'Expense Input'!F20</f>
        <v>ESE Contracted Services</v>
      </c>
      <c r="G115" s="60">
        <f>+'Expense Input'!J20</f>
        <v>62504.655120632699</v>
      </c>
      <c r="H115" s="60">
        <f>+G115/$G$7*$H$7</f>
        <v>28785.038542396636</v>
      </c>
      <c r="I115" s="60">
        <f>+G115/$G$7*$I$7</f>
        <v>30429.897887676445</v>
      </c>
      <c r="J115" s="1" t="str">
        <f t="shared" si="16"/>
        <v>*</v>
      </c>
      <c r="L115" s="25">
        <f t="shared" si="17"/>
        <v>0</v>
      </c>
      <c r="M115" s="60">
        <f t="shared" si="23"/>
        <v>0</v>
      </c>
      <c r="N115" s="60">
        <f t="shared" si="25"/>
        <v>0</v>
      </c>
      <c r="O115" s="60">
        <f t="shared" si="26"/>
        <v>0</v>
      </c>
    </row>
    <row r="116" spans="1:15" hidden="1" x14ac:dyDescent="0.2">
      <c r="A116" s="21"/>
      <c r="B116" s="28"/>
      <c r="C116" s="28"/>
      <c r="D116" s="28"/>
      <c r="E116" s="28"/>
      <c r="F116" s="28"/>
      <c r="G116" s="60"/>
      <c r="H116" s="60">
        <f>+G116/$G$7*$H$7</f>
        <v>0</v>
      </c>
      <c r="I116" s="60">
        <f>+G116/$G$7*$I$7</f>
        <v>0</v>
      </c>
      <c r="J116" s="1" t="str">
        <f t="shared" si="16"/>
        <v/>
      </c>
      <c r="L116" s="25">
        <f t="shared" si="17"/>
        <v>0</v>
      </c>
      <c r="M116" s="60">
        <f t="shared" si="23"/>
        <v>0</v>
      </c>
      <c r="N116" s="60">
        <f t="shared" si="25"/>
        <v>0</v>
      </c>
      <c r="O116" s="60">
        <f t="shared" si="26"/>
        <v>0</v>
      </c>
    </row>
    <row r="117" spans="1:15" hidden="1" x14ac:dyDescent="0.2">
      <c r="A117" s="21"/>
      <c r="B117" s="28"/>
      <c r="C117" s="28"/>
      <c r="D117" s="28"/>
      <c r="E117" s="28"/>
      <c r="F117" s="28"/>
      <c r="G117" s="60"/>
      <c r="H117" s="60">
        <f>+G117/$G$7*$H$7</f>
        <v>0</v>
      </c>
      <c r="I117" s="60">
        <f>+G117/$G$7*$I$7</f>
        <v>0</v>
      </c>
      <c r="J117" s="1" t="str">
        <f t="shared" si="16"/>
        <v/>
      </c>
      <c r="L117" s="25">
        <f t="shared" si="17"/>
        <v>0</v>
      </c>
      <c r="M117" s="60">
        <f t="shared" si="23"/>
        <v>0</v>
      </c>
      <c r="N117" s="60">
        <f t="shared" si="25"/>
        <v>0</v>
      </c>
      <c r="O117" s="60">
        <f t="shared" si="26"/>
        <v>0</v>
      </c>
    </row>
    <row r="118" spans="1:15" hidden="1" x14ac:dyDescent="0.2">
      <c r="A118" s="21"/>
      <c r="B118" s="28"/>
      <c r="C118" s="28"/>
      <c r="D118" s="28"/>
      <c r="E118" s="28"/>
      <c r="F118" s="28"/>
      <c r="G118" s="60"/>
      <c r="H118" s="60">
        <f>+G118/$G$7*$H$7</f>
        <v>0</v>
      </c>
      <c r="I118" s="60">
        <f>+G118/$G$7*$I$7</f>
        <v>0</v>
      </c>
      <c r="J118" s="1" t="str">
        <f t="shared" si="16"/>
        <v/>
      </c>
      <c r="L118" s="25">
        <f t="shared" si="17"/>
        <v>0</v>
      </c>
      <c r="M118" s="60">
        <f t="shared" si="23"/>
        <v>0</v>
      </c>
      <c r="N118" s="60">
        <f t="shared" si="25"/>
        <v>0</v>
      </c>
      <c r="O118" s="60">
        <f t="shared" si="26"/>
        <v>0</v>
      </c>
    </row>
    <row r="119" spans="1:15" hidden="1" x14ac:dyDescent="0.2">
      <c r="A119" s="21"/>
      <c r="B119" s="28"/>
      <c r="C119" s="28"/>
      <c r="D119" s="28"/>
      <c r="E119" s="28"/>
      <c r="F119" s="28"/>
      <c r="G119" s="60"/>
      <c r="H119" s="60">
        <f>+G119/$G$7*$H$7</f>
        <v>0</v>
      </c>
      <c r="I119" s="60">
        <f>+G119/$G$7*$I$7</f>
        <v>0</v>
      </c>
      <c r="J119" s="1" t="str">
        <f t="shared" si="16"/>
        <v/>
      </c>
      <c r="L119" s="25">
        <f t="shared" si="17"/>
        <v>0</v>
      </c>
      <c r="M119" s="60">
        <f t="shared" si="23"/>
        <v>0</v>
      </c>
      <c r="N119" s="60">
        <f t="shared" si="25"/>
        <v>0</v>
      </c>
      <c r="O119" s="60">
        <f t="shared" si="26"/>
        <v>0</v>
      </c>
    </row>
    <row r="120" spans="1:15" x14ac:dyDescent="0.2">
      <c r="A120" s="21"/>
      <c r="B120" s="28"/>
      <c r="C120" s="28"/>
      <c r="D120" s="28"/>
      <c r="E120" s="28"/>
      <c r="F120" s="28"/>
      <c r="G120" s="29"/>
      <c r="H120" s="29"/>
      <c r="I120" s="29"/>
      <c r="J120" s="1" t="str">
        <f>IF(J121="*","*","")</f>
        <v>*</v>
      </c>
      <c r="L120" s="25">
        <f t="shared" si="17"/>
        <v>0</v>
      </c>
      <c r="M120" s="60">
        <f t="shared" si="23"/>
        <v>0</v>
      </c>
      <c r="N120" s="60">
        <f>IF(A120=432,F120,0)</f>
        <v>0</v>
      </c>
      <c r="O120" s="60">
        <f>IF(B120=432,G120,0)</f>
        <v>0</v>
      </c>
    </row>
    <row r="121" spans="1:15" x14ac:dyDescent="0.2">
      <c r="A121" s="21"/>
      <c r="F121" s="18" t="s">
        <v>34</v>
      </c>
      <c r="G121" s="26">
        <f>SUM(G107:G120)</f>
        <v>418500.75372063275</v>
      </c>
      <c r="H121" s="26">
        <f>SUM(H107:H120)</f>
        <v>384781.13714239671</v>
      </c>
      <c r="I121" s="26">
        <f>SUM(I107:I120)</f>
        <v>386425.99648767652</v>
      </c>
      <c r="J121" s="1" t="str">
        <f>IF(G121&gt;0.49,"*","")</f>
        <v>*</v>
      </c>
      <c r="L121" s="26">
        <f>SUM(L106:L120)</f>
        <v>355996.09860000008</v>
      </c>
      <c r="M121" s="26">
        <f>SUM(M107:M120)</f>
        <v>0</v>
      </c>
      <c r="N121" s="26">
        <f>SUM(N107:N120)</f>
        <v>0</v>
      </c>
      <c r="O121" s="26">
        <f>SUM(O107:O120)</f>
        <v>0</v>
      </c>
    </row>
    <row r="122" spans="1:15" x14ac:dyDescent="0.2">
      <c r="A122" s="21"/>
      <c r="B122" s="1"/>
      <c r="C122" s="1"/>
      <c r="D122" s="1"/>
      <c r="E122" s="1"/>
      <c r="F122" s="13"/>
      <c r="J122" s="1" t="str">
        <f>IF(J121="*","*","")</f>
        <v>*</v>
      </c>
      <c r="L122" s="25">
        <f t="shared" ref="L122:L134" si="27">IF(E122&lt;300,G122,0)</f>
        <v>0</v>
      </c>
      <c r="M122" s="60">
        <f t="shared" ref="M122:M134" si="28">IF(B122=490,G122,0)</f>
        <v>0</v>
      </c>
      <c r="N122" s="60">
        <f>IF(A122=432,F122,0)</f>
        <v>0</v>
      </c>
      <c r="O122" s="60">
        <f>IF(B122=432,G122,0)</f>
        <v>0</v>
      </c>
    </row>
    <row r="123" spans="1:15" hidden="1" x14ac:dyDescent="0.2">
      <c r="A123" s="21"/>
      <c r="B123" s="28">
        <v>100</v>
      </c>
      <c r="C123" s="28">
        <v>4000</v>
      </c>
      <c r="D123" s="28">
        <v>5300</v>
      </c>
      <c r="E123" s="28">
        <v>120</v>
      </c>
      <c r="F123" s="28" t="s">
        <v>157</v>
      </c>
      <c r="G123" s="25">
        <f>+'Payroll Input'!E69</f>
        <v>0</v>
      </c>
      <c r="H123" s="60">
        <f t="shared" ref="H123:H128" si="29">+G123</f>
        <v>0</v>
      </c>
      <c r="I123" s="60">
        <f t="shared" ref="I123:I128" si="30">+G123</f>
        <v>0</v>
      </c>
      <c r="J123" s="1" t="str">
        <f t="shared" ref="J123:J133" si="31">IF(G123&gt;0.49,"*","")</f>
        <v/>
      </c>
      <c r="L123" s="25">
        <f t="shared" si="27"/>
        <v>0</v>
      </c>
      <c r="M123" s="60">
        <f t="shared" si="28"/>
        <v>0</v>
      </c>
      <c r="N123" s="60">
        <f t="shared" ref="N123:N133" si="32">IF(B123=432,G123,0)</f>
        <v>0</v>
      </c>
      <c r="O123" s="60">
        <f t="shared" ref="O123:O133" si="33">IF(B123=410,G123,0)</f>
        <v>0</v>
      </c>
    </row>
    <row r="124" spans="1:15" hidden="1" x14ac:dyDescent="0.2">
      <c r="A124" s="21"/>
      <c r="B124" s="28">
        <v>100</v>
      </c>
      <c r="C124" s="28">
        <v>4000</v>
      </c>
      <c r="D124" s="28">
        <v>5300</v>
      </c>
      <c r="E124" s="28">
        <v>210</v>
      </c>
      <c r="F124" s="28" t="s">
        <v>52</v>
      </c>
      <c r="G124" s="25">
        <f>+'Payroll Input'!F69</f>
        <v>0</v>
      </c>
      <c r="H124" s="60">
        <f t="shared" si="29"/>
        <v>0</v>
      </c>
      <c r="I124" s="60">
        <f t="shared" si="30"/>
        <v>0</v>
      </c>
      <c r="J124" s="1" t="str">
        <f t="shared" si="31"/>
        <v/>
      </c>
      <c r="L124" s="25">
        <f t="shared" si="27"/>
        <v>0</v>
      </c>
      <c r="M124" s="60">
        <f t="shared" si="28"/>
        <v>0</v>
      </c>
      <c r="N124" s="60">
        <f t="shared" si="32"/>
        <v>0</v>
      </c>
      <c r="O124" s="60">
        <f t="shared" si="33"/>
        <v>0</v>
      </c>
    </row>
    <row r="125" spans="1:15" hidden="1" x14ac:dyDescent="0.2">
      <c r="A125" s="21"/>
      <c r="B125" s="28">
        <v>100</v>
      </c>
      <c r="C125" s="28">
        <v>4000</v>
      </c>
      <c r="D125" s="28">
        <v>5300</v>
      </c>
      <c r="E125" s="28">
        <v>220</v>
      </c>
      <c r="F125" s="28" t="s">
        <v>53</v>
      </c>
      <c r="G125" s="25">
        <f>+'Payroll Input'!H69</f>
        <v>0</v>
      </c>
      <c r="H125" s="60">
        <f t="shared" si="29"/>
        <v>0</v>
      </c>
      <c r="I125" s="60">
        <f t="shared" si="30"/>
        <v>0</v>
      </c>
      <c r="J125" s="1" t="str">
        <f t="shared" si="31"/>
        <v/>
      </c>
      <c r="L125" s="25">
        <f t="shared" si="27"/>
        <v>0</v>
      </c>
      <c r="M125" s="60">
        <f t="shared" si="28"/>
        <v>0</v>
      </c>
      <c r="N125" s="60">
        <f t="shared" si="32"/>
        <v>0</v>
      </c>
      <c r="O125" s="60">
        <f t="shared" si="33"/>
        <v>0</v>
      </c>
    </row>
    <row r="126" spans="1:15" hidden="1" x14ac:dyDescent="0.2">
      <c r="A126" s="21"/>
      <c r="B126" s="28">
        <v>100</v>
      </c>
      <c r="C126" s="28">
        <v>4000</v>
      </c>
      <c r="D126" s="28">
        <v>5300</v>
      </c>
      <c r="E126" s="28">
        <v>230</v>
      </c>
      <c r="F126" s="28" t="s">
        <v>54</v>
      </c>
      <c r="G126" s="25">
        <f>+'Payroll Input'!I69</f>
        <v>0</v>
      </c>
      <c r="H126" s="60">
        <f t="shared" si="29"/>
        <v>0</v>
      </c>
      <c r="I126" s="60">
        <f t="shared" si="30"/>
        <v>0</v>
      </c>
      <c r="J126" s="1" t="str">
        <f t="shared" si="31"/>
        <v/>
      </c>
      <c r="L126" s="25">
        <f t="shared" si="27"/>
        <v>0</v>
      </c>
      <c r="M126" s="60">
        <f t="shared" si="28"/>
        <v>0</v>
      </c>
      <c r="N126" s="60">
        <f t="shared" si="32"/>
        <v>0</v>
      </c>
      <c r="O126" s="60">
        <f t="shared" si="33"/>
        <v>0</v>
      </c>
    </row>
    <row r="127" spans="1:15" hidden="1" x14ac:dyDescent="0.2">
      <c r="A127" s="21"/>
      <c r="B127" s="28">
        <v>100</v>
      </c>
      <c r="C127" s="28">
        <v>4000</v>
      </c>
      <c r="D127" s="28">
        <v>5300</v>
      </c>
      <c r="E127" s="28">
        <v>240</v>
      </c>
      <c r="F127" s="28" t="s">
        <v>55</v>
      </c>
      <c r="G127" s="25">
        <f>+'Payroll Input'!K69</f>
        <v>0</v>
      </c>
      <c r="H127" s="60">
        <f t="shared" si="29"/>
        <v>0</v>
      </c>
      <c r="I127" s="60">
        <f t="shared" si="30"/>
        <v>0</v>
      </c>
      <c r="J127" s="1" t="str">
        <f t="shared" si="31"/>
        <v/>
      </c>
      <c r="L127" s="25">
        <f t="shared" si="27"/>
        <v>0</v>
      </c>
      <c r="M127" s="60">
        <f t="shared" si="28"/>
        <v>0</v>
      </c>
      <c r="N127" s="60">
        <f t="shared" si="32"/>
        <v>0</v>
      </c>
      <c r="O127" s="60">
        <f t="shared" si="33"/>
        <v>0</v>
      </c>
    </row>
    <row r="128" spans="1:15" hidden="1" x14ac:dyDescent="0.2">
      <c r="A128" s="21"/>
      <c r="B128" s="28">
        <v>100</v>
      </c>
      <c r="C128" s="28">
        <v>4000</v>
      </c>
      <c r="D128" s="28">
        <v>5300</v>
      </c>
      <c r="E128" s="28">
        <v>250</v>
      </c>
      <c r="F128" s="28" t="s">
        <v>56</v>
      </c>
      <c r="G128" s="25">
        <f>+'Payroll Input'!L69</f>
        <v>0</v>
      </c>
      <c r="H128" s="60">
        <f t="shared" si="29"/>
        <v>0</v>
      </c>
      <c r="I128" s="60">
        <f t="shared" si="30"/>
        <v>0</v>
      </c>
      <c r="J128" s="1" t="str">
        <f t="shared" si="31"/>
        <v/>
      </c>
      <c r="L128" s="25">
        <f t="shared" si="27"/>
        <v>0</v>
      </c>
      <c r="M128" s="60">
        <f t="shared" si="28"/>
        <v>0</v>
      </c>
      <c r="N128" s="60">
        <f t="shared" si="32"/>
        <v>0</v>
      </c>
      <c r="O128" s="60">
        <f t="shared" si="33"/>
        <v>0</v>
      </c>
    </row>
    <row r="129" spans="1:15" hidden="1" x14ac:dyDescent="0.2">
      <c r="A129" s="21"/>
      <c r="B129" s="28"/>
      <c r="C129" s="28"/>
      <c r="D129" s="28"/>
      <c r="E129" s="28"/>
      <c r="F129" s="28"/>
      <c r="G129" s="60"/>
      <c r="H129" s="60">
        <f>IF(B129=100,G129,0)</f>
        <v>0</v>
      </c>
      <c r="I129" s="60">
        <f>IF(B129=490,G129,0)</f>
        <v>0</v>
      </c>
      <c r="J129" s="1" t="str">
        <f t="shared" si="31"/>
        <v/>
      </c>
      <c r="L129" s="25">
        <f t="shared" si="27"/>
        <v>0</v>
      </c>
      <c r="M129" s="60">
        <f t="shared" si="28"/>
        <v>0</v>
      </c>
      <c r="N129" s="60">
        <f t="shared" si="32"/>
        <v>0</v>
      </c>
      <c r="O129" s="60">
        <f t="shared" si="33"/>
        <v>0</v>
      </c>
    </row>
    <row r="130" spans="1:15" hidden="1" x14ac:dyDescent="0.2">
      <c r="A130" s="21"/>
      <c r="B130" s="28"/>
      <c r="C130" s="28"/>
      <c r="D130" s="28"/>
      <c r="E130" s="28"/>
      <c r="F130" s="28"/>
      <c r="G130" s="60"/>
      <c r="H130" s="60">
        <f>IF(B130=100,G130,0)</f>
        <v>0</v>
      </c>
      <c r="I130" s="60">
        <f>IF(B130=490,G130,0)</f>
        <v>0</v>
      </c>
      <c r="J130" s="1" t="str">
        <f>IF(G130&gt;0.49,"*","")</f>
        <v/>
      </c>
      <c r="L130" s="25">
        <f t="shared" si="27"/>
        <v>0</v>
      </c>
      <c r="M130" s="60">
        <f t="shared" si="28"/>
        <v>0</v>
      </c>
      <c r="N130" s="60">
        <f t="shared" si="32"/>
        <v>0</v>
      </c>
      <c r="O130" s="60">
        <f t="shared" si="33"/>
        <v>0</v>
      </c>
    </row>
    <row r="131" spans="1:15" hidden="1" x14ac:dyDescent="0.2">
      <c r="A131" s="21"/>
      <c r="B131" s="28"/>
      <c r="C131" s="28"/>
      <c r="D131" s="28"/>
      <c r="E131" s="28"/>
      <c r="F131" s="28"/>
      <c r="G131" s="60"/>
      <c r="H131" s="60">
        <f>IF(B131=100,G131,0)</f>
        <v>0</v>
      </c>
      <c r="I131" s="60">
        <f>IF(B131=490,G131,0)</f>
        <v>0</v>
      </c>
      <c r="J131" s="1" t="str">
        <f>IF(G131&gt;0.49,"*","")</f>
        <v/>
      </c>
      <c r="L131" s="25">
        <f t="shared" si="27"/>
        <v>0</v>
      </c>
      <c r="M131" s="60">
        <f t="shared" si="28"/>
        <v>0</v>
      </c>
      <c r="N131" s="60">
        <f t="shared" si="32"/>
        <v>0</v>
      </c>
      <c r="O131" s="60">
        <f t="shared" si="33"/>
        <v>0</v>
      </c>
    </row>
    <row r="132" spans="1:15" hidden="1" x14ac:dyDescent="0.2">
      <c r="A132" s="21"/>
      <c r="B132" s="28"/>
      <c r="C132" s="28"/>
      <c r="D132" s="28"/>
      <c r="E132" s="28"/>
      <c r="F132" s="28"/>
      <c r="G132" s="60"/>
      <c r="H132" s="60">
        <f>IF(B132=100,G132,0)</f>
        <v>0</v>
      </c>
      <c r="I132" s="60">
        <f>IF(B132=490,G132,0)</f>
        <v>0</v>
      </c>
      <c r="J132" s="1" t="str">
        <f t="shared" si="31"/>
        <v/>
      </c>
      <c r="L132" s="25">
        <f t="shared" si="27"/>
        <v>0</v>
      </c>
      <c r="M132" s="60">
        <f t="shared" si="28"/>
        <v>0</v>
      </c>
      <c r="N132" s="60">
        <f t="shared" si="32"/>
        <v>0</v>
      </c>
      <c r="O132" s="60">
        <f t="shared" si="33"/>
        <v>0</v>
      </c>
    </row>
    <row r="133" spans="1:15" hidden="1" x14ac:dyDescent="0.2">
      <c r="A133" s="21"/>
      <c r="B133" s="28"/>
      <c r="C133" s="28"/>
      <c r="D133" s="28"/>
      <c r="E133" s="28"/>
      <c r="F133" s="28"/>
      <c r="G133" s="60"/>
      <c r="H133" s="60">
        <f>IF(B133=100,G133,0)</f>
        <v>0</v>
      </c>
      <c r="I133" s="60">
        <f>IF(B133=490,G133,0)</f>
        <v>0</v>
      </c>
      <c r="J133" s="1" t="str">
        <f t="shared" si="31"/>
        <v/>
      </c>
      <c r="L133" s="25">
        <f t="shared" si="27"/>
        <v>0</v>
      </c>
      <c r="M133" s="60">
        <f t="shared" si="28"/>
        <v>0</v>
      </c>
      <c r="N133" s="60">
        <f t="shared" si="32"/>
        <v>0</v>
      </c>
      <c r="O133" s="60">
        <f t="shared" si="33"/>
        <v>0</v>
      </c>
    </row>
    <row r="134" spans="1:15" hidden="1" x14ac:dyDescent="0.2">
      <c r="A134" s="21"/>
      <c r="B134" s="28"/>
      <c r="C134" s="28"/>
      <c r="D134" s="28"/>
      <c r="E134" s="28"/>
      <c r="F134" s="28"/>
      <c r="G134" s="29"/>
      <c r="H134" s="29"/>
      <c r="I134" s="29"/>
      <c r="J134" s="1" t="str">
        <f>IF(J135="*","*","")</f>
        <v/>
      </c>
      <c r="L134" s="25">
        <f t="shared" si="27"/>
        <v>0</v>
      </c>
      <c r="M134" s="60">
        <f t="shared" si="28"/>
        <v>0</v>
      </c>
      <c r="N134" s="60">
        <f>IF(A134=432,F134,0)</f>
        <v>0</v>
      </c>
      <c r="O134" s="60">
        <f>IF(B134=432,G134,0)</f>
        <v>0</v>
      </c>
    </row>
    <row r="135" spans="1:15" hidden="1" x14ac:dyDescent="0.2">
      <c r="A135" s="21"/>
      <c r="F135" s="18" t="s">
        <v>159</v>
      </c>
      <c r="G135" s="26">
        <f>SUM(G123:G134)</f>
        <v>0</v>
      </c>
      <c r="H135" s="26">
        <f>SUM(H123:H134)</f>
        <v>0</v>
      </c>
      <c r="I135" s="26">
        <f>SUM(I123:I134)</f>
        <v>0</v>
      </c>
      <c r="J135" s="1" t="str">
        <f>IF(G135&gt;0.49,"*","")</f>
        <v/>
      </c>
      <c r="L135" s="26">
        <f>SUM(L122:L134)</f>
        <v>0</v>
      </c>
      <c r="M135" s="26">
        <f>SUM(M123:M134)</f>
        <v>0</v>
      </c>
      <c r="N135" s="26">
        <f>SUM(N123:N134)</f>
        <v>0</v>
      </c>
      <c r="O135" s="26">
        <f>SUM(O123:O134)</f>
        <v>0</v>
      </c>
    </row>
    <row r="136" spans="1:15" hidden="1" x14ac:dyDescent="0.2">
      <c r="A136" s="21"/>
      <c r="B136" s="1"/>
      <c r="C136" s="1"/>
      <c r="D136" s="1"/>
      <c r="E136" s="1"/>
      <c r="F136" s="13"/>
      <c r="J136" s="1" t="str">
        <f>IF(J135="*","*","")</f>
        <v/>
      </c>
      <c r="L136" s="25">
        <f t="shared" si="17"/>
        <v>0</v>
      </c>
      <c r="M136" s="60">
        <f t="shared" ref="M136:M147" si="34">IF(B136=490,G136,0)</f>
        <v>0</v>
      </c>
      <c r="N136" s="60">
        <f>IF(A136=432,F136,0)</f>
        <v>0</v>
      </c>
      <c r="O136" s="60">
        <f>IF(B136=432,G136,0)</f>
        <v>0</v>
      </c>
    </row>
    <row r="137" spans="1:15" hidden="1" x14ac:dyDescent="0.2">
      <c r="A137" s="21">
        <v>1</v>
      </c>
      <c r="B137" s="28">
        <v>100</v>
      </c>
      <c r="C137" s="28">
        <v>4000</v>
      </c>
      <c r="D137" s="28">
        <v>6100</v>
      </c>
      <c r="E137" s="28">
        <v>130</v>
      </c>
      <c r="F137" s="28" t="s">
        <v>5</v>
      </c>
      <c r="G137" s="25">
        <f>+'Payroll Input'!E76</f>
        <v>0</v>
      </c>
      <c r="H137" s="60">
        <f t="shared" ref="H137:I142" si="35">+G137</f>
        <v>0</v>
      </c>
      <c r="I137" s="60">
        <f t="shared" si="35"/>
        <v>0</v>
      </c>
      <c r="J137" s="1" t="str">
        <f t="shared" ref="J137:J146" si="36">IF(G137&gt;0.49,"*","")</f>
        <v/>
      </c>
      <c r="L137" s="25">
        <f t="shared" si="17"/>
        <v>0</v>
      </c>
      <c r="M137" s="60">
        <f t="shared" si="34"/>
        <v>0</v>
      </c>
      <c r="N137" s="60">
        <f t="shared" ref="N137:N146" si="37">IF(B137=432,G137,0)</f>
        <v>0</v>
      </c>
      <c r="O137" s="60">
        <f t="shared" ref="O137:O146" si="38">IF(B137=410,G137,0)</f>
        <v>0</v>
      </c>
    </row>
    <row r="138" spans="1:15" hidden="1" x14ac:dyDescent="0.2">
      <c r="A138" s="21">
        <v>1</v>
      </c>
      <c r="B138" s="28">
        <v>100</v>
      </c>
      <c r="C138" s="28">
        <v>4000</v>
      </c>
      <c r="D138" s="28">
        <v>6100</v>
      </c>
      <c r="E138" s="28">
        <v>210</v>
      </c>
      <c r="F138" s="28" t="s">
        <v>52</v>
      </c>
      <c r="G138" s="25">
        <f>+'Payroll Input'!F76</f>
        <v>0</v>
      </c>
      <c r="H138" s="60">
        <f t="shared" si="35"/>
        <v>0</v>
      </c>
      <c r="I138" s="60">
        <f t="shared" si="35"/>
        <v>0</v>
      </c>
      <c r="J138" s="1" t="str">
        <f t="shared" si="36"/>
        <v/>
      </c>
      <c r="L138" s="25">
        <f t="shared" si="17"/>
        <v>0</v>
      </c>
      <c r="M138" s="60">
        <f t="shared" si="34"/>
        <v>0</v>
      </c>
      <c r="N138" s="60">
        <f t="shared" si="37"/>
        <v>0</v>
      </c>
      <c r="O138" s="60">
        <f t="shared" si="38"/>
        <v>0</v>
      </c>
    </row>
    <row r="139" spans="1:15" hidden="1" x14ac:dyDescent="0.2">
      <c r="A139" s="21">
        <v>1</v>
      </c>
      <c r="B139" s="28">
        <v>100</v>
      </c>
      <c r="C139" s="28">
        <v>4000</v>
      </c>
      <c r="D139" s="28">
        <v>6100</v>
      </c>
      <c r="E139" s="28">
        <v>220</v>
      </c>
      <c r="F139" s="28" t="s">
        <v>53</v>
      </c>
      <c r="G139" s="25">
        <f>+'Payroll Input'!H76</f>
        <v>0</v>
      </c>
      <c r="H139" s="60">
        <f t="shared" si="35"/>
        <v>0</v>
      </c>
      <c r="I139" s="60">
        <f t="shared" si="35"/>
        <v>0</v>
      </c>
      <c r="J139" s="1" t="str">
        <f t="shared" si="36"/>
        <v/>
      </c>
      <c r="L139" s="25">
        <f t="shared" si="17"/>
        <v>0</v>
      </c>
      <c r="M139" s="60">
        <f t="shared" si="34"/>
        <v>0</v>
      </c>
      <c r="N139" s="60">
        <f t="shared" si="37"/>
        <v>0</v>
      </c>
      <c r="O139" s="60">
        <f t="shared" si="38"/>
        <v>0</v>
      </c>
    </row>
    <row r="140" spans="1:15" hidden="1" x14ac:dyDescent="0.2">
      <c r="A140" s="21">
        <v>1</v>
      </c>
      <c r="B140" s="28">
        <v>100</v>
      </c>
      <c r="C140" s="28">
        <v>4000</v>
      </c>
      <c r="D140" s="28">
        <v>6100</v>
      </c>
      <c r="E140" s="28">
        <v>230</v>
      </c>
      <c r="F140" s="28" t="s">
        <v>54</v>
      </c>
      <c r="G140" s="25">
        <f>+'Payroll Input'!I76</f>
        <v>0</v>
      </c>
      <c r="H140" s="60">
        <f t="shared" si="35"/>
        <v>0</v>
      </c>
      <c r="I140" s="60">
        <f t="shared" si="35"/>
        <v>0</v>
      </c>
      <c r="J140" s="1" t="str">
        <f t="shared" si="36"/>
        <v/>
      </c>
      <c r="L140" s="25">
        <f t="shared" si="17"/>
        <v>0</v>
      </c>
      <c r="M140" s="60">
        <f t="shared" si="34"/>
        <v>0</v>
      </c>
      <c r="N140" s="60">
        <f t="shared" si="37"/>
        <v>0</v>
      </c>
      <c r="O140" s="60">
        <f t="shared" si="38"/>
        <v>0</v>
      </c>
    </row>
    <row r="141" spans="1:15" hidden="1" x14ac:dyDescent="0.2">
      <c r="A141" s="21">
        <v>1</v>
      </c>
      <c r="B141" s="28">
        <v>100</v>
      </c>
      <c r="C141" s="28">
        <v>4000</v>
      </c>
      <c r="D141" s="28">
        <v>6100</v>
      </c>
      <c r="E141" s="28">
        <v>240</v>
      </c>
      <c r="F141" s="28" t="s">
        <v>55</v>
      </c>
      <c r="G141" s="25">
        <f>+'Payroll Input'!K76</f>
        <v>0</v>
      </c>
      <c r="H141" s="60">
        <f t="shared" si="35"/>
        <v>0</v>
      </c>
      <c r="I141" s="60">
        <f t="shared" si="35"/>
        <v>0</v>
      </c>
      <c r="J141" s="1" t="str">
        <f t="shared" si="36"/>
        <v/>
      </c>
      <c r="L141" s="25">
        <f t="shared" si="17"/>
        <v>0</v>
      </c>
      <c r="M141" s="60">
        <f t="shared" si="34"/>
        <v>0</v>
      </c>
      <c r="N141" s="60">
        <f t="shared" si="37"/>
        <v>0</v>
      </c>
      <c r="O141" s="60">
        <f t="shared" si="38"/>
        <v>0</v>
      </c>
    </row>
    <row r="142" spans="1:15" hidden="1" x14ac:dyDescent="0.2">
      <c r="A142" s="21">
        <v>1</v>
      </c>
      <c r="B142" s="28">
        <v>100</v>
      </c>
      <c r="C142" s="28">
        <v>4000</v>
      </c>
      <c r="D142" s="28">
        <v>6100</v>
      </c>
      <c r="E142" s="28">
        <v>250</v>
      </c>
      <c r="F142" s="28" t="s">
        <v>56</v>
      </c>
      <c r="G142" s="25">
        <f>+'Payroll Input'!L76</f>
        <v>0</v>
      </c>
      <c r="H142" s="60">
        <f t="shared" si="35"/>
        <v>0</v>
      </c>
      <c r="I142" s="60">
        <f t="shared" si="35"/>
        <v>0</v>
      </c>
      <c r="J142" s="1" t="str">
        <f t="shared" si="36"/>
        <v/>
      </c>
      <c r="L142" s="25">
        <f t="shared" si="17"/>
        <v>0</v>
      </c>
      <c r="M142" s="60">
        <f t="shared" si="34"/>
        <v>0</v>
      </c>
      <c r="N142" s="60">
        <f t="shared" si="37"/>
        <v>0</v>
      </c>
      <c r="O142" s="60">
        <f t="shared" si="38"/>
        <v>0</v>
      </c>
    </row>
    <row r="143" spans="1:15" hidden="1" x14ac:dyDescent="0.2">
      <c r="A143" s="21"/>
      <c r="B143" s="28"/>
      <c r="C143" s="28"/>
      <c r="D143" s="28"/>
      <c r="E143" s="28"/>
      <c r="F143" s="28"/>
      <c r="G143" s="60"/>
      <c r="H143" s="60"/>
      <c r="I143" s="60"/>
      <c r="J143" s="1" t="str">
        <f>IF(G143&gt;0.49,"*","")</f>
        <v/>
      </c>
      <c r="L143" s="25">
        <f>IF(E143&lt;300,G143,0)</f>
        <v>0</v>
      </c>
      <c r="M143" s="60">
        <f>IF(B143=490,G143,0)</f>
        <v>0</v>
      </c>
      <c r="N143" s="60">
        <f>IF(B143=432,G143,0)</f>
        <v>0</v>
      </c>
      <c r="O143" s="60">
        <f>IF(B143=410,G143,0)</f>
        <v>0</v>
      </c>
    </row>
    <row r="144" spans="1:15" hidden="1" x14ac:dyDescent="0.2">
      <c r="A144" s="21"/>
      <c r="B144" s="28"/>
      <c r="C144" s="28"/>
      <c r="D144" s="28"/>
      <c r="E144" s="28"/>
      <c r="F144" s="28"/>
      <c r="G144" s="60"/>
      <c r="H144" s="60"/>
      <c r="I144" s="60"/>
      <c r="J144" s="1" t="str">
        <f>IF(G144&gt;0.49,"*","")</f>
        <v/>
      </c>
      <c r="L144" s="25">
        <f t="shared" si="17"/>
        <v>0</v>
      </c>
      <c r="M144" s="60">
        <f t="shared" si="34"/>
        <v>0</v>
      </c>
      <c r="N144" s="60">
        <f t="shared" si="37"/>
        <v>0</v>
      </c>
      <c r="O144" s="60">
        <f t="shared" si="38"/>
        <v>0</v>
      </c>
    </row>
    <row r="145" spans="1:15" hidden="1" x14ac:dyDescent="0.2">
      <c r="A145" s="21"/>
      <c r="B145" s="28"/>
      <c r="C145" s="28"/>
      <c r="D145" s="28"/>
      <c r="E145" s="28"/>
      <c r="F145" s="28"/>
      <c r="G145" s="60"/>
      <c r="H145" s="60">
        <f>IF(B145=100,G145,0)</f>
        <v>0</v>
      </c>
      <c r="I145" s="60">
        <f>IF(B145=490,G145,0)</f>
        <v>0</v>
      </c>
      <c r="J145" s="1" t="str">
        <f t="shared" si="36"/>
        <v/>
      </c>
      <c r="L145" s="25">
        <f t="shared" si="17"/>
        <v>0</v>
      </c>
      <c r="M145" s="60">
        <f t="shared" si="34"/>
        <v>0</v>
      </c>
      <c r="N145" s="60">
        <f t="shared" si="37"/>
        <v>0</v>
      </c>
      <c r="O145" s="60">
        <f t="shared" si="38"/>
        <v>0</v>
      </c>
    </row>
    <row r="146" spans="1:15" hidden="1" x14ac:dyDescent="0.2">
      <c r="A146" s="21"/>
      <c r="B146" s="28"/>
      <c r="C146" s="28"/>
      <c r="D146" s="28"/>
      <c r="E146" s="28"/>
      <c r="F146" s="28"/>
      <c r="G146" s="29"/>
      <c r="H146" s="60">
        <f>IF(B146=100,G146,0)</f>
        <v>0</v>
      </c>
      <c r="I146" s="60">
        <f>IF(B146=490,G146,0)</f>
        <v>0</v>
      </c>
      <c r="J146" s="1" t="str">
        <f t="shared" si="36"/>
        <v/>
      </c>
      <c r="L146" s="25">
        <f t="shared" si="17"/>
        <v>0</v>
      </c>
      <c r="M146" s="60">
        <f t="shared" si="34"/>
        <v>0</v>
      </c>
      <c r="N146" s="60">
        <f t="shared" si="37"/>
        <v>0</v>
      </c>
      <c r="O146" s="60">
        <f t="shared" si="38"/>
        <v>0</v>
      </c>
    </row>
    <row r="147" spans="1:15" hidden="1" x14ac:dyDescent="0.2">
      <c r="A147" s="21"/>
      <c r="B147" s="28"/>
      <c r="C147" s="28"/>
      <c r="D147" s="28"/>
      <c r="E147" s="28"/>
      <c r="F147" s="28"/>
      <c r="J147" s="1" t="str">
        <f>IF(J148="*","*","")</f>
        <v/>
      </c>
      <c r="L147" s="25">
        <f t="shared" si="17"/>
        <v>0</v>
      </c>
      <c r="M147" s="60">
        <f t="shared" si="34"/>
        <v>0</v>
      </c>
      <c r="N147" s="60">
        <f>IF(A147=432,F147,0)</f>
        <v>0</v>
      </c>
      <c r="O147" s="60">
        <f>IF(B147=432,G147,0)</f>
        <v>0</v>
      </c>
    </row>
    <row r="148" spans="1:15" hidden="1" x14ac:dyDescent="0.2">
      <c r="A148" s="21"/>
      <c r="F148" s="18" t="s">
        <v>35</v>
      </c>
      <c r="G148" s="26">
        <f>SUM(G137:G147)</f>
        <v>0</v>
      </c>
      <c r="H148" s="26">
        <f>SUM(H137:H147)</f>
        <v>0</v>
      </c>
      <c r="I148" s="26">
        <f>SUM(I137:I147)</f>
        <v>0</v>
      </c>
      <c r="J148" s="1" t="str">
        <f>IF(G148&gt;0.49,"*","")</f>
        <v/>
      </c>
      <c r="L148" s="26">
        <f>SUM(L136:L147)</f>
        <v>0</v>
      </c>
      <c r="M148" s="26">
        <f>SUM(M137:M147)</f>
        <v>0</v>
      </c>
      <c r="N148" s="26">
        <f>SUM(N137:N147)</f>
        <v>0</v>
      </c>
      <c r="O148" s="26">
        <f>SUM(O137:O147)</f>
        <v>0</v>
      </c>
    </row>
    <row r="149" spans="1:15" hidden="1" x14ac:dyDescent="0.2">
      <c r="A149" s="21"/>
      <c r="B149" s="1"/>
      <c r="C149" s="1"/>
      <c r="D149" s="1"/>
      <c r="E149" s="1"/>
      <c r="F149" s="14"/>
      <c r="J149" s="1" t="str">
        <f>IF(J148="*","*","")</f>
        <v/>
      </c>
      <c r="L149" s="25">
        <f t="shared" si="17"/>
        <v>0</v>
      </c>
      <c r="M149" s="60">
        <f t="shared" ref="M149:M159" si="39">IF(B149=490,G149,0)</f>
        <v>0</v>
      </c>
      <c r="N149" s="60">
        <f>IF(A149=432,F149,0)</f>
        <v>0</v>
      </c>
      <c r="O149" s="60">
        <f>IF(B149=432,G149,0)</f>
        <v>0</v>
      </c>
    </row>
    <row r="150" spans="1:15" hidden="1" x14ac:dyDescent="0.2">
      <c r="A150" s="21">
        <v>1</v>
      </c>
      <c r="B150" s="28">
        <v>100</v>
      </c>
      <c r="C150" s="28">
        <v>4000</v>
      </c>
      <c r="D150" s="28">
        <v>6200</v>
      </c>
      <c r="E150" s="28">
        <v>130</v>
      </c>
      <c r="F150" s="28" t="s">
        <v>57</v>
      </c>
      <c r="G150" s="25">
        <f>+'Payroll Input'!E80</f>
        <v>0</v>
      </c>
      <c r="H150" s="60">
        <f t="shared" ref="H150:I156" si="40">+G150</f>
        <v>0</v>
      </c>
      <c r="I150" s="60">
        <f t="shared" si="40"/>
        <v>0</v>
      </c>
      <c r="J150" s="1" t="str">
        <f t="shared" ref="J150:J158" si="41">IF(G150&gt;0.49,"*","")</f>
        <v/>
      </c>
      <c r="L150" s="25">
        <f t="shared" ref="L150:L231" si="42">IF(E150&lt;300,G150,0)</f>
        <v>0</v>
      </c>
      <c r="M150" s="60">
        <f t="shared" si="39"/>
        <v>0</v>
      </c>
      <c r="N150" s="60">
        <f t="shared" ref="N150:N158" si="43">IF(B150=432,G150,0)</f>
        <v>0</v>
      </c>
      <c r="O150" s="60">
        <f t="shared" ref="O150:O158" si="44">IF(B150=410,G150,0)</f>
        <v>0</v>
      </c>
    </row>
    <row r="151" spans="1:15" hidden="1" x14ac:dyDescent="0.2">
      <c r="A151" s="21">
        <v>1</v>
      </c>
      <c r="B151" s="28">
        <v>100</v>
      </c>
      <c r="C151" s="28">
        <v>4000</v>
      </c>
      <c r="D151" s="28">
        <v>6200</v>
      </c>
      <c r="E151" s="28">
        <v>210</v>
      </c>
      <c r="F151" s="28" t="s">
        <v>52</v>
      </c>
      <c r="G151" s="25">
        <f>+'Payroll Input'!F80</f>
        <v>0</v>
      </c>
      <c r="H151" s="60">
        <f t="shared" si="40"/>
        <v>0</v>
      </c>
      <c r="I151" s="60">
        <f t="shared" si="40"/>
        <v>0</v>
      </c>
      <c r="J151" s="1" t="str">
        <f t="shared" si="41"/>
        <v/>
      </c>
      <c r="L151" s="25">
        <f t="shared" si="42"/>
        <v>0</v>
      </c>
      <c r="M151" s="60">
        <f t="shared" si="39"/>
        <v>0</v>
      </c>
      <c r="N151" s="60">
        <f t="shared" si="43"/>
        <v>0</v>
      </c>
      <c r="O151" s="60">
        <f t="shared" si="44"/>
        <v>0</v>
      </c>
    </row>
    <row r="152" spans="1:15" hidden="1" x14ac:dyDescent="0.2">
      <c r="A152" s="21">
        <v>1</v>
      </c>
      <c r="B152" s="28">
        <v>100</v>
      </c>
      <c r="C152" s="28">
        <v>4000</v>
      </c>
      <c r="D152" s="28">
        <v>6200</v>
      </c>
      <c r="E152" s="28">
        <v>220</v>
      </c>
      <c r="F152" s="28" t="s">
        <v>53</v>
      </c>
      <c r="G152" s="25">
        <f>+'Payroll Input'!H80</f>
        <v>0</v>
      </c>
      <c r="H152" s="60">
        <f t="shared" si="40"/>
        <v>0</v>
      </c>
      <c r="I152" s="60">
        <f t="shared" si="40"/>
        <v>0</v>
      </c>
      <c r="J152" s="1" t="str">
        <f t="shared" si="41"/>
        <v/>
      </c>
      <c r="L152" s="25">
        <f t="shared" si="42"/>
        <v>0</v>
      </c>
      <c r="M152" s="60">
        <f t="shared" si="39"/>
        <v>0</v>
      </c>
      <c r="N152" s="60">
        <f t="shared" si="43"/>
        <v>0</v>
      </c>
      <c r="O152" s="60">
        <f t="shared" si="44"/>
        <v>0</v>
      </c>
    </row>
    <row r="153" spans="1:15" hidden="1" x14ac:dyDescent="0.2">
      <c r="A153" s="21">
        <v>1</v>
      </c>
      <c r="B153" s="28">
        <v>100</v>
      </c>
      <c r="C153" s="28">
        <v>4000</v>
      </c>
      <c r="D153" s="28">
        <v>6200</v>
      </c>
      <c r="E153" s="28">
        <v>230</v>
      </c>
      <c r="F153" s="28" t="s">
        <v>54</v>
      </c>
      <c r="G153" s="25">
        <f>+'Payroll Input'!I80</f>
        <v>0</v>
      </c>
      <c r="H153" s="60">
        <f t="shared" si="40"/>
        <v>0</v>
      </c>
      <c r="I153" s="60">
        <f t="shared" si="40"/>
        <v>0</v>
      </c>
      <c r="J153" s="1" t="str">
        <f t="shared" si="41"/>
        <v/>
      </c>
      <c r="L153" s="25">
        <f t="shared" si="42"/>
        <v>0</v>
      </c>
      <c r="M153" s="60">
        <f t="shared" si="39"/>
        <v>0</v>
      </c>
      <c r="N153" s="60">
        <f t="shared" si="43"/>
        <v>0</v>
      </c>
      <c r="O153" s="60">
        <f t="shared" si="44"/>
        <v>0</v>
      </c>
    </row>
    <row r="154" spans="1:15" ht="12" hidden="1" customHeight="1" x14ac:dyDescent="0.2">
      <c r="A154" s="21">
        <v>1</v>
      </c>
      <c r="B154" s="28">
        <v>100</v>
      </c>
      <c r="C154" s="28">
        <v>4000</v>
      </c>
      <c r="D154" s="28">
        <v>6200</v>
      </c>
      <c r="E154" s="28">
        <v>240</v>
      </c>
      <c r="F154" s="28" t="s">
        <v>55</v>
      </c>
      <c r="G154" s="25">
        <f>+'Payroll Input'!K80</f>
        <v>0</v>
      </c>
      <c r="H154" s="60">
        <f t="shared" si="40"/>
        <v>0</v>
      </c>
      <c r="I154" s="60">
        <f t="shared" si="40"/>
        <v>0</v>
      </c>
      <c r="J154" s="1" t="str">
        <f t="shared" si="41"/>
        <v/>
      </c>
      <c r="L154" s="25">
        <f t="shared" si="42"/>
        <v>0</v>
      </c>
      <c r="M154" s="60">
        <f t="shared" si="39"/>
        <v>0</v>
      </c>
      <c r="N154" s="60">
        <f t="shared" si="43"/>
        <v>0</v>
      </c>
      <c r="O154" s="60">
        <f t="shared" si="44"/>
        <v>0</v>
      </c>
    </row>
    <row r="155" spans="1:15" hidden="1" x14ac:dyDescent="0.2">
      <c r="A155" s="21">
        <v>1</v>
      </c>
      <c r="B155" s="28">
        <v>100</v>
      </c>
      <c r="C155" s="28">
        <v>4000</v>
      </c>
      <c r="D155" s="28">
        <v>6200</v>
      </c>
      <c r="E155" s="28">
        <v>250</v>
      </c>
      <c r="F155" s="28" t="s">
        <v>56</v>
      </c>
      <c r="G155" s="25">
        <f>+'Payroll Input'!L80</f>
        <v>0</v>
      </c>
      <c r="H155" s="60">
        <f t="shared" si="40"/>
        <v>0</v>
      </c>
      <c r="I155" s="60">
        <f t="shared" si="40"/>
        <v>0</v>
      </c>
      <c r="J155" s="1" t="str">
        <f t="shared" si="41"/>
        <v/>
      </c>
      <c r="L155" s="25">
        <f t="shared" si="42"/>
        <v>0</v>
      </c>
      <c r="M155" s="60">
        <f t="shared" si="39"/>
        <v>0</v>
      </c>
      <c r="N155" s="60">
        <f t="shared" si="43"/>
        <v>0</v>
      </c>
      <c r="O155" s="60">
        <f t="shared" si="44"/>
        <v>0</v>
      </c>
    </row>
    <row r="156" spans="1:15" hidden="1" x14ac:dyDescent="0.2">
      <c r="A156" s="21"/>
      <c r="B156" s="28"/>
      <c r="C156" s="28"/>
      <c r="D156" s="28"/>
      <c r="E156" s="28"/>
      <c r="F156" s="28"/>
      <c r="G156" s="60"/>
      <c r="H156" s="60">
        <f t="shared" si="40"/>
        <v>0</v>
      </c>
      <c r="I156" s="60">
        <f t="shared" si="40"/>
        <v>0</v>
      </c>
      <c r="J156" s="1" t="str">
        <f t="shared" si="41"/>
        <v/>
      </c>
      <c r="L156" s="25">
        <f t="shared" si="42"/>
        <v>0</v>
      </c>
      <c r="M156" s="60">
        <f t="shared" si="39"/>
        <v>0</v>
      </c>
      <c r="N156" s="60">
        <f t="shared" si="43"/>
        <v>0</v>
      </c>
      <c r="O156" s="60">
        <f t="shared" si="44"/>
        <v>0</v>
      </c>
    </row>
    <row r="157" spans="1:15" x14ac:dyDescent="0.2">
      <c r="A157" s="21"/>
      <c r="B157" s="28">
        <f>+'Expense Input'!B21</f>
        <v>100</v>
      </c>
      <c r="C157" s="28">
        <f>+'Expense Input'!C21</f>
        <v>4000</v>
      </c>
      <c r="D157" s="28">
        <f>+'Expense Input'!D21</f>
        <v>6300</v>
      </c>
      <c r="E157" s="28">
        <f>+'Expense Input'!E21</f>
        <v>590</v>
      </c>
      <c r="F157" s="60" t="str">
        <f>+'Expense Input'!F21</f>
        <v>Testing and Assessment</v>
      </c>
      <c r="G157" s="60">
        <f>+'Expense Input'!J21</f>
        <v>10000</v>
      </c>
      <c r="H157" s="60">
        <f>+G157/$G$7*$H$7</f>
        <v>4605.2631578947367</v>
      </c>
      <c r="I157" s="60">
        <f>+G157/$G$7*$I$7</f>
        <v>4868.4210526315783</v>
      </c>
      <c r="J157" s="1" t="str">
        <f>IF(G157&gt;0.49,"*","")</f>
        <v>*</v>
      </c>
      <c r="L157" s="25">
        <f t="shared" si="42"/>
        <v>0</v>
      </c>
      <c r="M157" s="60">
        <f t="shared" si="39"/>
        <v>0</v>
      </c>
      <c r="N157" s="60">
        <f t="shared" si="43"/>
        <v>0</v>
      </c>
      <c r="O157" s="60">
        <f t="shared" si="44"/>
        <v>0</v>
      </c>
    </row>
    <row r="158" spans="1:15" hidden="1" x14ac:dyDescent="0.2">
      <c r="A158" s="21"/>
      <c r="B158" s="28"/>
      <c r="C158" s="28"/>
      <c r="D158" s="28"/>
      <c r="E158" s="28"/>
      <c r="F158" s="28"/>
      <c r="G158" s="60"/>
      <c r="H158" s="60">
        <f>+G158</f>
        <v>0</v>
      </c>
      <c r="I158" s="60">
        <f>+H158</f>
        <v>0</v>
      </c>
      <c r="J158" s="1" t="str">
        <f t="shared" si="41"/>
        <v/>
      </c>
      <c r="L158" s="25">
        <f t="shared" si="42"/>
        <v>0</v>
      </c>
      <c r="M158" s="60">
        <f t="shared" si="39"/>
        <v>0</v>
      </c>
      <c r="N158" s="60">
        <f t="shared" si="43"/>
        <v>0</v>
      </c>
      <c r="O158" s="60">
        <f t="shared" si="44"/>
        <v>0</v>
      </c>
    </row>
    <row r="159" spans="1:15" x14ac:dyDescent="0.2">
      <c r="A159" s="21"/>
      <c r="B159" s="28"/>
      <c r="C159" s="28"/>
      <c r="D159" s="28"/>
      <c r="E159" s="28"/>
      <c r="F159" s="28"/>
      <c r="J159" s="1" t="str">
        <f>IF(J160="*","*","")</f>
        <v>*</v>
      </c>
      <c r="L159" s="25">
        <f t="shared" si="42"/>
        <v>0</v>
      </c>
      <c r="M159" s="60">
        <f t="shared" si="39"/>
        <v>0</v>
      </c>
      <c r="N159" s="60">
        <f>IF(A159=432,F159,0)</f>
        <v>0</v>
      </c>
      <c r="O159" s="60">
        <f>IF(B159=432,G159,0)</f>
        <v>0</v>
      </c>
    </row>
    <row r="160" spans="1:15" x14ac:dyDescent="0.2">
      <c r="A160" s="21"/>
      <c r="F160" s="18" t="s">
        <v>36</v>
      </c>
      <c r="G160" s="26">
        <f>SUM(G150:G159)</f>
        <v>10000</v>
      </c>
      <c r="H160" s="26">
        <f>SUM(H150:H159)</f>
        <v>4605.2631578947367</v>
      </c>
      <c r="I160" s="26">
        <f>SUM(I150:I159)</f>
        <v>4868.4210526315783</v>
      </c>
      <c r="J160" s="1" t="str">
        <f>IF(G160&gt;0.49,"*","")</f>
        <v>*</v>
      </c>
      <c r="L160" s="26">
        <f>SUM(L149:L159)</f>
        <v>0</v>
      </c>
      <c r="M160" s="26">
        <f>SUM(M150:M159)</f>
        <v>0</v>
      </c>
      <c r="N160" s="26">
        <f>SUM(N150:N159)</f>
        <v>0</v>
      </c>
      <c r="O160" s="26">
        <f>SUM(O150:O159)</f>
        <v>0</v>
      </c>
    </row>
    <row r="161" spans="1:15" x14ac:dyDescent="0.2">
      <c r="A161" s="21"/>
      <c r="B161" s="1"/>
      <c r="C161" s="1"/>
      <c r="D161" s="1"/>
      <c r="E161" s="1"/>
      <c r="F161" s="14"/>
      <c r="J161" s="1" t="str">
        <f>IF(J160="*","*","")</f>
        <v>*</v>
      </c>
      <c r="L161" s="25">
        <f t="shared" si="42"/>
        <v>0</v>
      </c>
      <c r="M161" s="60">
        <f t="shared" ref="M161:M169" si="45">IF(B161=490,G161,0)</f>
        <v>0</v>
      </c>
      <c r="N161" s="60">
        <f>IF(A161=432,F161,0)</f>
        <v>0</v>
      </c>
      <c r="O161" s="60">
        <f>IF(B161=432,G161,0)</f>
        <v>0</v>
      </c>
    </row>
    <row r="162" spans="1:15" x14ac:dyDescent="0.2">
      <c r="A162" s="21">
        <v>1</v>
      </c>
      <c r="B162" s="28">
        <v>100</v>
      </c>
      <c r="C162" s="28">
        <v>4000</v>
      </c>
      <c r="D162" s="28">
        <v>6300</v>
      </c>
      <c r="E162" s="28">
        <v>130</v>
      </c>
      <c r="F162" s="28" t="s">
        <v>311</v>
      </c>
      <c r="G162" s="25">
        <f>+'Payroll Input'!E84</f>
        <v>1000</v>
      </c>
      <c r="H162" s="60">
        <f t="shared" ref="H162:I168" si="46">+G162</f>
        <v>1000</v>
      </c>
      <c r="I162" s="60">
        <f t="shared" si="46"/>
        <v>1000</v>
      </c>
      <c r="J162" s="1" t="str">
        <f t="shared" ref="J162:J167" si="47">IF(G162&gt;0.49,"*","")</f>
        <v>*</v>
      </c>
      <c r="L162" s="25">
        <f t="shared" si="42"/>
        <v>1000</v>
      </c>
      <c r="M162" s="60">
        <f t="shared" si="45"/>
        <v>0</v>
      </c>
      <c r="N162" s="60">
        <f t="shared" ref="N162:N168" si="48">IF(B162=432,G162,0)</f>
        <v>0</v>
      </c>
      <c r="O162" s="60">
        <f t="shared" ref="O162:O168" si="49">IF(B162=410,G162,0)</f>
        <v>0</v>
      </c>
    </row>
    <row r="163" spans="1:15" x14ac:dyDescent="0.2">
      <c r="A163" s="21">
        <v>1</v>
      </c>
      <c r="B163" s="28">
        <v>100</v>
      </c>
      <c r="C163" s="28">
        <v>4000</v>
      </c>
      <c r="D163" s="28">
        <v>6300</v>
      </c>
      <c r="E163" s="28">
        <v>210</v>
      </c>
      <c r="F163" s="28" t="s">
        <v>52</v>
      </c>
      <c r="G163" s="25">
        <f>+'Payroll Input'!F84</f>
        <v>37.6</v>
      </c>
      <c r="H163" s="60">
        <f t="shared" si="46"/>
        <v>37.6</v>
      </c>
      <c r="I163" s="60">
        <f t="shared" si="46"/>
        <v>37.6</v>
      </c>
      <c r="J163" s="1" t="str">
        <f t="shared" si="47"/>
        <v>*</v>
      </c>
      <c r="L163" s="25">
        <f t="shared" si="42"/>
        <v>37.6</v>
      </c>
      <c r="M163" s="60">
        <f t="shared" si="45"/>
        <v>0</v>
      </c>
      <c r="N163" s="60">
        <f t="shared" si="48"/>
        <v>0</v>
      </c>
      <c r="O163" s="60">
        <f t="shared" si="49"/>
        <v>0</v>
      </c>
    </row>
    <row r="164" spans="1:15" x14ac:dyDescent="0.2">
      <c r="A164" s="21">
        <v>1</v>
      </c>
      <c r="B164" s="28">
        <v>100</v>
      </c>
      <c r="C164" s="28">
        <v>4000</v>
      </c>
      <c r="D164" s="28">
        <v>6300</v>
      </c>
      <c r="E164" s="28">
        <v>220</v>
      </c>
      <c r="F164" s="28" t="s">
        <v>53</v>
      </c>
      <c r="G164" s="25">
        <f>+'Payroll Input'!H84</f>
        <v>76.5</v>
      </c>
      <c r="H164" s="60">
        <f t="shared" si="46"/>
        <v>76.5</v>
      </c>
      <c r="I164" s="60">
        <f t="shared" si="46"/>
        <v>76.5</v>
      </c>
      <c r="J164" s="1" t="str">
        <f t="shared" si="47"/>
        <v>*</v>
      </c>
      <c r="L164" s="25">
        <f t="shared" si="42"/>
        <v>76.5</v>
      </c>
      <c r="M164" s="60">
        <f t="shared" si="45"/>
        <v>0</v>
      </c>
      <c r="N164" s="60">
        <f t="shared" si="48"/>
        <v>0</v>
      </c>
      <c r="O164" s="60">
        <f t="shared" si="49"/>
        <v>0</v>
      </c>
    </row>
    <row r="165" spans="1:15" hidden="1" x14ac:dyDescent="0.2">
      <c r="A165" s="21">
        <v>1</v>
      </c>
      <c r="B165" s="28">
        <v>100</v>
      </c>
      <c r="C165" s="28">
        <v>4000</v>
      </c>
      <c r="D165" s="28">
        <v>6300</v>
      </c>
      <c r="E165" s="28">
        <v>230</v>
      </c>
      <c r="F165" s="28" t="s">
        <v>54</v>
      </c>
      <c r="G165" s="25">
        <f>+'Payroll Input'!I84</f>
        <v>0</v>
      </c>
      <c r="H165" s="60">
        <f t="shared" si="46"/>
        <v>0</v>
      </c>
      <c r="I165" s="60">
        <f t="shared" si="46"/>
        <v>0</v>
      </c>
      <c r="J165" s="1" t="str">
        <f t="shared" si="47"/>
        <v/>
      </c>
      <c r="L165" s="25">
        <f t="shared" si="42"/>
        <v>0</v>
      </c>
      <c r="M165" s="60">
        <f t="shared" si="45"/>
        <v>0</v>
      </c>
      <c r="N165" s="60">
        <f t="shared" si="48"/>
        <v>0</v>
      </c>
      <c r="O165" s="60">
        <f t="shared" si="49"/>
        <v>0</v>
      </c>
    </row>
    <row r="166" spans="1:15" ht="12" customHeight="1" x14ac:dyDescent="0.2">
      <c r="A166" s="21">
        <v>1</v>
      </c>
      <c r="B166" s="28">
        <v>100</v>
      </c>
      <c r="C166" s="28">
        <v>4000</v>
      </c>
      <c r="D166" s="28">
        <v>6300</v>
      </c>
      <c r="E166" s="28">
        <v>240</v>
      </c>
      <c r="F166" s="28" t="s">
        <v>55</v>
      </c>
      <c r="G166" s="25">
        <f>+'Payroll Input'!K84</f>
        <v>5.1000000000000005</v>
      </c>
      <c r="H166" s="60">
        <f t="shared" si="46"/>
        <v>5.1000000000000005</v>
      </c>
      <c r="I166" s="60">
        <f t="shared" si="46"/>
        <v>5.1000000000000005</v>
      </c>
      <c r="J166" s="1" t="str">
        <f t="shared" si="47"/>
        <v>*</v>
      </c>
      <c r="L166" s="25">
        <f t="shared" si="42"/>
        <v>5.1000000000000005</v>
      </c>
      <c r="M166" s="60">
        <f t="shared" si="45"/>
        <v>0</v>
      </c>
      <c r="N166" s="60">
        <f t="shared" si="48"/>
        <v>0</v>
      </c>
      <c r="O166" s="60">
        <f t="shared" si="49"/>
        <v>0</v>
      </c>
    </row>
    <row r="167" spans="1:15" x14ac:dyDescent="0.2">
      <c r="A167" s="21">
        <v>1</v>
      </c>
      <c r="B167" s="28">
        <v>100</v>
      </c>
      <c r="C167" s="28">
        <v>4000</v>
      </c>
      <c r="D167" s="28">
        <v>6300</v>
      </c>
      <c r="E167" s="28">
        <v>250</v>
      </c>
      <c r="F167" s="28" t="s">
        <v>56</v>
      </c>
      <c r="G167" s="25">
        <f>+'Payroll Input'!L84</f>
        <v>27</v>
      </c>
      <c r="H167" s="60">
        <f t="shared" si="46"/>
        <v>27</v>
      </c>
      <c r="I167" s="60">
        <f t="shared" si="46"/>
        <v>27</v>
      </c>
      <c r="J167" s="1" t="str">
        <f t="shared" si="47"/>
        <v>*</v>
      </c>
      <c r="L167" s="25">
        <f t="shared" si="42"/>
        <v>27</v>
      </c>
      <c r="M167" s="60">
        <f t="shared" si="45"/>
        <v>0</v>
      </c>
      <c r="N167" s="60">
        <f t="shared" si="48"/>
        <v>0</v>
      </c>
      <c r="O167" s="60">
        <f t="shared" si="49"/>
        <v>0</v>
      </c>
    </row>
    <row r="168" spans="1:15" hidden="1" x14ac:dyDescent="0.2">
      <c r="A168" s="21"/>
      <c r="B168" s="28"/>
      <c r="C168" s="28"/>
      <c r="D168" s="28"/>
      <c r="E168" s="28"/>
      <c r="F168" s="28"/>
      <c r="G168" s="60"/>
      <c r="H168" s="60">
        <f t="shared" si="46"/>
        <v>0</v>
      </c>
      <c r="I168" s="60">
        <f t="shared" si="46"/>
        <v>0</v>
      </c>
      <c r="J168" s="1" t="str">
        <f>IF(G168&gt;0.49,"*","")</f>
        <v/>
      </c>
      <c r="L168" s="25">
        <f t="shared" si="42"/>
        <v>0</v>
      </c>
      <c r="M168" s="60">
        <f t="shared" si="45"/>
        <v>0</v>
      </c>
      <c r="N168" s="60">
        <f t="shared" si="48"/>
        <v>0</v>
      </c>
      <c r="O168" s="60">
        <f t="shared" si="49"/>
        <v>0</v>
      </c>
    </row>
    <row r="169" spans="1:15" x14ac:dyDescent="0.2">
      <c r="A169" s="21"/>
      <c r="B169" s="1"/>
      <c r="C169" s="1"/>
      <c r="D169" s="1"/>
      <c r="E169" s="1"/>
      <c r="F169" s="53"/>
      <c r="G169" s="29"/>
      <c r="H169" s="29"/>
      <c r="I169" s="29"/>
      <c r="J169" s="1" t="str">
        <f>IF(J170="*","*","")</f>
        <v>*</v>
      </c>
      <c r="L169" s="25">
        <f t="shared" si="42"/>
        <v>0</v>
      </c>
      <c r="M169" s="60">
        <f t="shared" si="45"/>
        <v>0</v>
      </c>
      <c r="N169" s="60">
        <f>IF(A169=432,F169,0)</f>
        <v>0</v>
      </c>
      <c r="O169" s="60">
        <f>IF(B169=432,G169,0)</f>
        <v>0</v>
      </c>
    </row>
    <row r="170" spans="1:15" x14ac:dyDescent="0.2">
      <c r="A170" s="21"/>
      <c r="F170" s="18" t="s">
        <v>37</v>
      </c>
      <c r="G170" s="26">
        <f>SUM(G162:G169)</f>
        <v>1146.1999999999998</v>
      </c>
      <c r="H170" s="26">
        <f>SUM(H162:H169)</f>
        <v>1146.1999999999998</v>
      </c>
      <c r="I170" s="26">
        <f>SUM(I162:I169)</f>
        <v>1146.1999999999998</v>
      </c>
      <c r="J170" s="1" t="str">
        <f>IF(G170&gt;0.49,"*","")</f>
        <v>*</v>
      </c>
      <c r="L170" s="26">
        <f>SUM(L161:L169)</f>
        <v>1146.1999999999998</v>
      </c>
      <c r="M170" s="26">
        <f>SUM(M162:M169)</f>
        <v>0</v>
      </c>
      <c r="N170" s="26">
        <f>SUM(N162:N169)</f>
        <v>0</v>
      </c>
      <c r="O170" s="26">
        <f>SUM(O162:O169)</f>
        <v>0</v>
      </c>
    </row>
    <row r="171" spans="1:15" x14ac:dyDescent="0.2">
      <c r="A171" s="21"/>
      <c r="F171" s="18"/>
      <c r="G171" s="27"/>
      <c r="H171" s="27"/>
      <c r="I171" s="27"/>
      <c r="J171" s="1" t="str">
        <f>IF(J170="*","*","")</f>
        <v>*</v>
      </c>
      <c r="L171" s="25">
        <f t="shared" si="42"/>
        <v>0</v>
      </c>
      <c r="M171" s="60">
        <f>IF(B171=490,G171,0)</f>
        <v>0</v>
      </c>
      <c r="N171" s="60">
        <f>IF(A171=432,F171,0)</f>
        <v>0</v>
      </c>
      <c r="O171" s="60">
        <f>IF(B171=432,G171,0)</f>
        <v>0</v>
      </c>
    </row>
    <row r="172" spans="1:15" x14ac:dyDescent="0.2">
      <c r="A172" s="21">
        <v>1</v>
      </c>
      <c r="B172" s="28">
        <v>100</v>
      </c>
      <c r="C172" s="28">
        <v>4000</v>
      </c>
      <c r="D172" s="28">
        <f>+'Expense Input'!D16</f>
        <v>5100</v>
      </c>
      <c r="E172" s="28">
        <v>130</v>
      </c>
      <c r="F172" s="28" t="s">
        <v>314</v>
      </c>
      <c r="G172" s="25">
        <f>+'Payroll Input'!E88</f>
        <v>400</v>
      </c>
      <c r="H172" s="60">
        <f t="shared" ref="H172:H177" si="50">+G172</f>
        <v>400</v>
      </c>
      <c r="I172" s="60">
        <f t="shared" ref="I172:I177" si="51">+H172</f>
        <v>400</v>
      </c>
      <c r="J172" s="1" t="str">
        <f t="shared" ref="J172:J177" si="52">IF(G172&gt;0.49,"*","")</f>
        <v>*</v>
      </c>
      <c r="L172" s="25">
        <f t="shared" ref="L172:L177" si="53">IF(E172&lt;300,G172,0)</f>
        <v>400</v>
      </c>
      <c r="M172" s="60">
        <f t="shared" ref="M172:M177" si="54">IF(B172=490,G172,0)</f>
        <v>0</v>
      </c>
      <c r="N172" s="60">
        <f t="shared" ref="N172:N177" si="55">IF(B172=432,G172,0)</f>
        <v>0</v>
      </c>
      <c r="O172" s="60">
        <f t="shared" ref="O172:O177" si="56">IF(B172=410,G172,0)</f>
        <v>0</v>
      </c>
    </row>
    <row r="173" spans="1:15" x14ac:dyDescent="0.2">
      <c r="A173" s="21">
        <v>1</v>
      </c>
      <c r="B173" s="28">
        <v>100</v>
      </c>
      <c r="C173" s="28">
        <v>4000</v>
      </c>
      <c r="D173" s="28">
        <f>+'Expense Input'!D17</f>
        <v>5100</v>
      </c>
      <c r="E173" s="28">
        <v>210</v>
      </c>
      <c r="F173" s="28" t="s">
        <v>52</v>
      </c>
      <c r="G173" s="25">
        <f>+'Payroll Input'!F88</f>
        <v>15.040000000000001</v>
      </c>
      <c r="H173" s="60">
        <f t="shared" si="50"/>
        <v>15.040000000000001</v>
      </c>
      <c r="I173" s="60">
        <f t="shared" si="51"/>
        <v>15.040000000000001</v>
      </c>
      <c r="J173" s="1" t="str">
        <f t="shared" si="52"/>
        <v>*</v>
      </c>
      <c r="L173" s="25">
        <f t="shared" si="53"/>
        <v>15.040000000000001</v>
      </c>
      <c r="M173" s="60">
        <f t="shared" si="54"/>
        <v>0</v>
      </c>
      <c r="N173" s="60">
        <f t="shared" si="55"/>
        <v>0</v>
      </c>
      <c r="O173" s="60">
        <f t="shared" si="56"/>
        <v>0</v>
      </c>
    </row>
    <row r="174" spans="1:15" x14ac:dyDescent="0.2">
      <c r="A174" s="21">
        <v>1</v>
      </c>
      <c r="B174" s="28">
        <v>100</v>
      </c>
      <c r="C174" s="28">
        <v>4000</v>
      </c>
      <c r="D174" s="28">
        <f>+'Expense Input'!D18</f>
        <v>5100</v>
      </c>
      <c r="E174" s="28">
        <v>220</v>
      </c>
      <c r="F174" s="28" t="s">
        <v>53</v>
      </c>
      <c r="G174" s="25">
        <f>+'Payroll Input'!H86</f>
        <v>30.599999999999998</v>
      </c>
      <c r="H174" s="60">
        <f t="shared" si="50"/>
        <v>30.599999999999998</v>
      </c>
      <c r="I174" s="60">
        <f t="shared" si="51"/>
        <v>30.599999999999998</v>
      </c>
      <c r="J174" s="1" t="str">
        <f t="shared" si="52"/>
        <v>*</v>
      </c>
      <c r="L174" s="25">
        <f t="shared" si="53"/>
        <v>30.599999999999998</v>
      </c>
      <c r="M174" s="60">
        <f t="shared" si="54"/>
        <v>0</v>
      </c>
      <c r="N174" s="60">
        <f t="shared" si="55"/>
        <v>0</v>
      </c>
      <c r="O174" s="60">
        <f t="shared" si="56"/>
        <v>0</v>
      </c>
    </row>
    <row r="175" spans="1:15" hidden="1" x14ac:dyDescent="0.2">
      <c r="A175" s="21">
        <v>1</v>
      </c>
      <c r="B175" s="28">
        <v>100</v>
      </c>
      <c r="C175" s="28">
        <v>4000</v>
      </c>
      <c r="D175" s="28">
        <f>+'Expense Input'!D19</f>
        <v>5100</v>
      </c>
      <c r="E175" s="28">
        <v>230</v>
      </c>
      <c r="F175" s="28" t="s">
        <v>54</v>
      </c>
      <c r="G175" s="25">
        <f>+'Payroll Input'!I88</f>
        <v>0</v>
      </c>
      <c r="H175" s="60">
        <f t="shared" si="50"/>
        <v>0</v>
      </c>
      <c r="I175" s="60">
        <f t="shared" si="51"/>
        <v>0</v>
      </c>
      <c r="J175" s="1" t="str">
        <f t="shared" si="52"/>
        <v/>
      </c>
      <c r="L175" s="25">
        <f t="shared" si="53"/>
        <v>0</v>
      </c>
      <c r="M175" s="60">
        <f t="shared" si="54"/>
        <v>0</v>
      </c>
      <c r="N175" s="60">
        <f t="shared" si="55"/>
        <v>0</v>
      </c>
      <c r="O175" s="60">
        <f t="shared" si="56"/>
        <v>0</v>
      </c>
    </row>
    <row r="176" spans="1:15" ht="12" customHeight="1" x14ac:dyDescent="0.2">
      <c r="A176" s="21">
        <v>1</v>
      </c>
      <c r="B176" s="28">
        <v>100</v>
      </c>
      <c r="C176" s="28">
        <v>4000</v>
      </c>
      <c r="D176" s="28">
        <f>+'Expense Input'!D20</f>
        <v>5200</v>
      </c>
      <c r="E176" s="28">
        <v>240</v>
      </c>
      <c r="F176" s="28" t="s">
        <v>55</v>
      </c>
      <c r="G176" s="25">
        <f>+'Payroll Input'!K88</f>
        <v>2.04</v>
      </c>
      <c r="H176" s="60">
        <f t="shared" si="50"/>
        <v>2.04</v>
      </c>
      <c r="I176" s="60">
        <f t="shared" si="51"/>
        <v>2.04</v>
      </c>
      <c r="J176" s="1" t="str">
        <f t="shared" si="52"/>
        <v>*</v>
      </c>
      <c r="L176" s="25">
        <f t="shared" si="53"/>
        <v>2.04</v>
      </c>
      <c r="M176" s="60">
        <f t="shared" si="54"/>
        <v>0</v>
      </c>
      <c r="N176" s="60">
        <f t="shared" si="55"/>
        <v>0</v>
      </c>
      <c r="O176" s="60">
        <f t="shared" si="56"/>
        <v>0</v>
      </c>
    </row>
    <row r="177" spans="1:15" x14ac:dyDescent="0.2">
      <c r="A177" s="21">
        <v>1</v>
      </c>
      <c r="B177" s="28">
        <v>100</v>
      </c>
      <c r="C177" s="28">
        <v>4000</v>
      </c>
      <c r="D177" s="28">
        <f>+'Expense Input'!D21</f>
        <v>6300</v>
      </c>
      <c r="E177" s="28">
        <v>250</v>
      </c>
      <c r="F177" s="28" t="s">
        <v>56</v>
      </c>
      <c r="G177" s="25">
        <f>+'Payroll Input'!L88</f>
        <v>10.8</v>
      </c>
      <c r="H177" s="60">
        <f t="shared" si="50"/>
        <v>10.8</v>
      </c>
      <c r="I177" s="60">
        <f t="shared" si="51"/>
        <v>10.8</v>
      </c>
      <c r="J177" s="1" t="str">
        <f t="shared" si="52"/>
        <v>*</v>
      </c>
      <c r="L177" s="25">
        <f t="shared" si="53"/>
        <v>10.8</v>
      </c>
      <c r="M177" s="60">
        <f t="shared" si="54"/>
        <v>0</v>
      </c>
      <c r="N177" s="60">
        <f t="shared" si="55"/>
        <v>0</v>
      </c>
      <c r="O177" s="60">
        <f t="shared" si="56"/>
        <v>0</v>
      </c>
    </row>
    <row r="178" spans="1:15" x14ac:dyDescent="0.2">
      <c r="A178" s="21"/>
      <c r="B178" s="28">
        <f>+'Expense Input'!B22</f>
        <v>100</v>
      </c>
      <c r="C178" s="28">
        <f>+'Expense Input'!C22</f>
        <v>4000</v>
      </c>
      <c r="D178" s="28">
        <f>+'Expense Input'!D22</f>
        <v>6400</v>
      </c>
      <c r="E178" s="28">
        <f>+'Expense Input'!E22</f>
        <v>310</v>
      </c>
      <c r="F178" s="28" t="str">
        <f>+'Expense Input'!F22</f>
        <v>Staff Development</v>
      </c>
      <c r="G178" s="60">
        <f>+'Expense Input'!J22</f>
        <v>20000</v>
      </c>
      <c r="H178" s="60">
        <f>+G178/$G$7*$H$7</f>
        <v>9210.5263157894733</v>
      </c>
      <c r="I178" s="60">
        <f>+G178/$G$7*$I$7</f>
        <v>9736.8421052631566</v>
      </c>
      <c r="J178" s="1" t="str">
        <f>IF(G178&gt;0.49,"*","")</f>
        <v>*</v>
      </c>
      <c r="L178" s="25">
        <f t="shared" si="42"/>
        <v>0</v>
      </c>
      <c r="M178" s="60">
        <f>IF(B178=490,G178,0)</f>
        <v>0</v>
      </c>
      <c r="N178" s="60">
        <f>IF(B178=432,G178,0)</f>
        <v>0</v>
      </c>
      <c r="O178" s="60">
        <f>IF(B178=410,G178,0)</f>
        <v>0</v>
      </c>
    </row>
    <row r="179" spans="1:15" ht="12" hidden="1" customHeight="1" x14ac:dyDescent="0.2">
      <c r="A179" s="21"/>
      <c r="B179" s="28"/>
      <c r="C179" s="28"/>
      <c r="D179" s="28"/>
      <c r="E179" s="28"/>
      <c r="F179" s="28"/>
      <c r="G179" s="60"/>
      <c r="H179" s="60">
        <f>+G179/$G$7*$H$7</f>
        <v>0</v>
      </c>
      <c r="I179" s="60">
        <f>+G179/$G$7*$I$7</f>
        <v>0</v>
      </c>
      <c r="J179" s="1" t="str">
        <f>IF(G179&gt;0.49,"*","")</f>
        <v/>
      </c>
      <c r="L179" s="25">
        <f t="shared" si="42"/>
        <v>0</v>
      </c>
      <c r="M179" s="60">
        <f>IF(B179=490,G179,0)</f>
        <v>0</v>
      </c>
      <c r="N179" s="60">
        <f>IF(B179=432,G179,0)</f>
        <v>0</v>
      </c>
      <c r="O179" s="60">
        <f>IF(B179=410,G179,0)</f>
        <v>0</v>
      </c>
    </row>
    <row r="180" spans="1:15" ht="12" customHeight="1" x14ac:dyDescent="0.2">
      <c r="A180" s="21"/>
      <c r="B180" s="28"/>
      <c r="C180" s="28"/>
      <c r="D180" s="28"/>
      <c r="E180" s="28"/>
      <c r="F180" s="28"/>
      <c r="G180" s="29"/>
      <c r="H180" s="29"/>
      <c r="I180" s="29"/>
      <c r="J180" s="1" t="str">
        <f>IF(J181="*","*","")</f>
        <v>*</v>
      </c>
      <c r="L180" s="25">
        <f t="shared" si="42"/>
        <v>0</v>
      </c>
      <c r="M180" s="60">
        <f>IF(B180=490,G180,0)</f>
        <v>0</v>
      </c>
      <c r="N180" s="60">
        <f>IF(A180=432,F180,0)</f>
        <v>0</v>
      </c>
      <c r="O180" s="60">
        <f>IF(B180=432,G180,0)</f>
        <v>0</v>
      </c>
    </row>
    <row r="181" spans="1:15" x14ac:dyDescent="0.2">
      <c r="A181" s="21"/>
      <c r="F181" s="18" t="s">
        <v>38</v>
      </c>
      <c r="G181" s="26">
        <f>SUM(G172:G180)</f>
        <v>20458.48</v>
      </c>
      <c r="H181" s="26">
        <f t="shared" ref="H181:I181" si="57">SUM(H172:H180)</f>
        <v>9669.0063157894729</v>
      </c>
      <c r="I181" s="26">
        <f t="shared" si="57"/>
        <v>10195.322105263156</v>
      </c>
      <c r="J181" s="1" t="str">
        <f>IF(G181&gt;0.49,"*","")</f>
        <v>*</v>
      </c>
      <c r="L181" s="26">
        <f>SUM(L171:L180)</f>
        <v>458.48000000000008</v>
      </c>
      <c r="M181" s="26">
        <f>SUM(M171:M180)</f>
        <v>0</v>
      </c>
      <c r="N181" s="26">
        <f t="shared" ref="N181:O181" si="58">SUM(N171:N180)</f>
        <v>0</v>
      </c>
      <c r="O181" s="26">
        <f t="shared" si="58"/>
        <v>0</v>
      </c>
    </row>
    <row r="182" spans="1:15" x14ac:dyDescent="0.2">
      <c r="A182" s="21"/>
      <c r="F182" s="4"/>
      <c r="J182" s="1" t="str">
        <f>IF(J181="*","*","")</f>
        <v>*</v>
      </c>
      <c r="L182" s="25">
        <f t="shared" si="42"/>
        <v>0</v>
      </c>
      <c r="M182" s="60">
        <f t="shared" ref="M182:M190" si="59">IF(B182=490,G182,0)</f>
        <v>0</v>
      </c>
      <c r="N182" s="60">
        <f>IF(A182=432,F182,0)</f>
        <v>0</v>
      </c>
      <c r="O182" s="60">
        <f>IF(B182=432,G182,0)</f>
        <v>0</v>
      </c>
    </row>
    <row r="183" spans="1:15" x14ac:dyDescent="0.2">
      <c r="A183" s="21">
        <v>1</v>
      </c>
      <c r="B183" s="28">
        <v>100</v>
      </c>
      <c r="C183" s="28">
        <v>4000</v>
      </c>
      <c r="D183" s="28">
        <v>6500</v>
      </c>
      <c r="E183" s="28">
        <v>130</v>
      </c>
      <c r="F183" s="28" t="s">
        <v>301</v>
      </c>
      <c r="G183" s="25">
        <f>+'Payroll Input'!E92</f>
        <v>52000</v>
      </c>
      <c r="H183" s="60">
        <f t="shared" ref="H183:I188" si="60">+G183</f>
        <v>52000</v>
      </c>
      <c r="I183" s="60">
        <f t="shared" si="60"/>
        <v>52000</v>
      </c>
      <c r="J183" s="1" t="str">
        <f t="shared" ref="J183:J190" si="61">IF(G183&gt;0.49,"*","")</f>
        <v>*</v>
      </c>
      <c r="L183" s="25">
        <f t="shared" ref="L183:L189" si="62">IF(E183&lt;300,G183,0)</f>
        <v>52000</v>
      </c>
      <c r="M183" s="60">
        <f t="shared" si="59"/>
        <v>0</v>
      </c>
      <c r="N183" s="60">
        <f t="shared" ref="N183:N190" si="63">IF(B183=432,G183,0)</f>
        <v>0</v>
      </c>
      <c r="O183" s="60">
        <f t="shared" ref="O183:O190" si="64">IF(B183=410,G183,0)</f>
        <v>0</v>
      </c>
    </row>
    <row r="184" spans="1:15" x14ac:dyDescent="0.2">
      <c r="A184" s="21">
        <v>1</v>
      </c>
      <c r="B184" s="28">
        <v>100</v>
      </c>
      <c r="C184" s="28">
        <v>4000</v>
      </c>
      <c r="D184" s="28">
        <v>6500</v>
      </c>
      <c r="E184" s="28">
        <v>210</v>
      </c>
      <c r="F184" s="28" t="s">
        <v>52</v>
      </c>
      <c r="G184" s="25">
        <f>+'Payroll Input'!F92</f>
        <v>1955.2</v>
      </c>
      <c r="H184" s="60">
        <f t="shared" si="60"/>
        <v>1955.2</v>
      </c>
      <c r="I184" s="60">
        <f t="shared" si="60"/>
        <v>1955.2</v>
      </c>
      <c r="J184" s="1" t="str">
        <f t="shared" si="61"/>
        <v>*</v>
      </c>
      <c r="L184" s="25">
        <f t="shared" si="62"/>
        <v>1955.2</v>
      </c>
      <c r="M184" s="60">
        <f t="shared" si="59"/>
        <v>0</v>
      </c>
      <c r="N184" s="60">
        <f t="shared" si="63"/>
        <v>0</v>
      </c>
      <c r="O184" s="60">
        <f t="shared" si="64"/>
        <v>0</v>
      </c>
    </row>
    <row r="185" spans="1:15" x14ac:dyDescent="0.2">
      <c r="A185" s="21">
        <v>1</v>
      </c>
      <c r="B185" s="28">
        <v>100</v>
      </c>
      <c r="C185" s="28">
        <v>4000</v>
      </c>
      <c r="D185" s="28">
        <v>6500</v>
      </c>
      <c r="E185" s="28">
        <v>220</v>
      </c>
      <c r="F185" s="28" t="s">
        <v>53</v>
      </c>
      <c r="G185" s="25">
        <f>+'Payroll Input'!H92</f>
        <v>3978</v>
      </c>
      <c r="H185" s="60">
        <f t="shared" si="60"/>
        <v>3978</v>
      </c>
      <c r="I185" s="60">
        <f t="shared" si="60"/>
        <v>3978</v>
      </c>
      <c r="J185" s="1" t="str">
        <f t="shared" si="61"/>
        <v>*</v>
      </c>
      <c r="L185" s="25">
        <f t="shared" si="62"/>
        <v>3978</v>
      </c>
      <c r="M185" s="60">
        <f t="shared" si="59"/>
        <v>0</v>
      </c>
      <c r="N185" s="60">
        <f t="shared" si="63"/>
        <v>0</v>
      </c>
      <c r="O185" s="60">
        <f t="shared" si="64"/>
        <v>0</v>
      </c>
    </row>
    <row r="186" spans="1:15" x14ac:dyDescent="0.2">
      <c r="A186" s="21">
        <v>1</v>
      </c>
      <c r="B186" s="28">
        <v>100</v>
      </c>
      <c r="C186" s="28">
        <v>4000</v>
      </c>
      <c r="D186" s="28">
        <v>6500</v>
      </c>
      <c r="E186" s="28">
        <v>230</v>
      </c>
      <c r="F186" s="28" t="s">
        <v>54</v>
      </c>
      <c r="G186" s="25">
        <f>+'Payroll Input'!I92</f>
        <v>8712.3040000000001</v>
      </c>
      <c r="H186" s="60">
        <f t="shared" si="60"/>
        <v>8712.3040000000001</v>
      </c>
      <c r="I186" s="60">
        <f t="shared" si="60"/>
        <v>8712.3040000000001</v>
      </c>
      <c r="J186" s="1" t="str">
        <f t="shared" si="61"/>
        <v>*</v>
      </c>
      <c r="L186" s="25">
        <f t="shared" si="62"/>
        <v>8712.3040000000001</v>
      </c>
      <c r="M186" s="60">
        <f t="shared" si="59"/>
        <v>0</v>
      </c>
      <c r="N186" s="60">
        <f t="shared" si="63"/>
        <v>0</v>
      </c>
      <c r="O186" s="60">
        <f t="shared" si="64"/>
        <v>0</v>
      </c>
    </row>
    <row r="187" spans="1:15" ht="12" customHeight="1" x14ac:dyDescent="0.2">
      <c r="A187" s="21">
        <v>1</v>
      </c>
      <c r="B187" s="28">
        <v>100</v>
      </c>
      <c r="C187" s="28">
        <v>4000</v>
      </c>
      <c r="D187" s="28">
        <v>6500</v>
      </c>
      <c r="E187" s="28">
        <v>240</v>
      </c>
      <c r="F187" s="28" t="s">
        <v>55</v>
      </c>
      <c r="G187" s="25">
        <f>+'Payroll Input'!K92</f>
        <v>265.20000000000005</v>
      </c>
      <c r="H187" s="60">
        <f t="shared" si="60"/>
        <v>265.20000000000005</v>
      </c>
      <c r="I187" s="60">
        <f t="shared" si="60"/>
        <v>265.20000000000005</v>
      </c>
      <c r="J187" s="1" t="str">
        <f t="shared" si="61"/>
        <v>*</v>
      </c>
      <c r="L187" s="25">
        <f t="shared" si="62"/>
        <v>265.20000000000005</v>
      </c>
      <c r="M187" s="60">
        <f t="shared" si="59"/>
        <v>0</v>
      </c>
      <c r="N187" s="60">
        <f t="shared" si="63"/>
        <v>0</v>
      </c>
      <c r="O187" s="60">
        <f t="shared" si="64"/>
        <v>0</v>
      </c>
    </row>
    <row r="188" spans="1:15" x14ac:dyDescent="0.2">
      <c r="A188" s="21">
        <v>1</v>
      </c>
      <c r="B188" s="28">
        <v>100</v>
      </c>
      <c r="C188" s="28">
        <v>4000</v>
      </c>
      <c r="D188" s="28">
        <v>6500</v>
      </c>
      <c r="E188" s="28">
        <v>250</v>
      </c>
      <c r="F188" s="28" t="s">
        <v>56</v>
      </c>
      <c r="G188" s="25">
        <f>+'Payroll Input'!L92</f>
        <v>189</v>
      </c>
      <c r="H188" s="60">
        <f t="shared" si="60"/>
        <v>189</v>
      </c>
      <c r="I188" s="60">
        <f t="shared" si="60"/>
        <v>189</v>
      </c>
      <c r="J188" s="1" t="str">
        <f t="shared" si="61"/>
        <v>*</v>
      </c>
      <c r="L188" s="25">
        <f t="shared" si="62"/>
        <v>189</v>
      </c>
      <c r="M188" s="60">
        <f t="shared" si="59"/>
        <v>0</v>
      </c>
      <c r="N188" s="60">
        <f t="shared" si="63"/>
        <v>0</v>
      </c>
      <c r="O188" s="60">
        <f t="shared" si="64"/>
        <v>0</v>
      </c>
    </row>
    <row r="189" spans="1:15" hidden="1" x14ac:dyDescent="0.2">
      <c r="A189" s="21"/>
      <c r="B189" s="28"/>
      <c r="C189" s="28"/>
      <c r="D189" s="28"/>
      <c r="E189" s="28"/>
      <c r="F189" s="28"/>
      <c r="G189" s="60"/>
      <c r="H189" s="60"/>
      <c r="I189" s="60"/>
      <c r="J189" s="1" t="str">
        <f t="shared" si="61"/>
        <v/>
      </c>
      <c r="L189" s="25">
        <f t="shared" si="62"/>
        <v>0</v>
      </c>
      <c r="M189" s="60">
        <f t="shared" si="59"/>
        <v>0</v>
      </c>
      <c r="N189" s="60">
        <f t="shared" si="63"/>
        <v>0</v>
      </c>
      <c r="O189" s="60">
        <f t="shared" si="64"/>
        <v>0</v>
      </c>
    </row>
    <row r="190" spans="1:15" x14ac:dyDescent="0.2">
      <c r="A190" s="21"/>
      <c r="B190" s="28">
        <f>'Expense Input'!B23</f>
        <v>100</v>
      </c>
      <c r="C190" s="28">
        <f>'Expense Input'!C23</f>
        <v>4000</v>
      </c>
      <c r="D190" s="28">
        <f>'Expense Input'!D23</f>
        <v>6500</v>
      </c>
      <c r="E190" s="28">
        <f>'Expense Input'!E23</f>
        <v>310</v>
      </c>
      <c r="F190" s="28" t="str">
        <f>'Expense Input'!F23</f>
        <v>Technology Support &amp; Service</v>
      </c>
      <c r="G190" s="60">
        <f>'Expense Input'!J23</f>
        <v>24000</v>
      </c>
      <c r="H190" s="60">
        <f>+G190/$G$7*$H$7</f>
        <v>11052.631578947368</v>
      </c>
      <c r="I190" s="60">
        <f>+G190/$G$7*$I$7</f>
        <v>11684.210526315788</v>
      </c>
      <c r="J190" s="1" t="str">
        <f t="shared" si="61"/>
        <v>*</v>
      </c>
      <c r="L190" s="25">
        <f t="shared" si="42"/>
        <v>0</v>
      </c>
      <c r="M190" s="60">
        <f t="shared" si="59"/>
        <v>0</v>
      </c>
      <c r="N190" s="60">
        <f t="shared" si="63"/>
        <v>0</v>
      </c>
      <c r="O190" s="60">
        <f t="shared" si="64"/>
        <v>0</v>
      </c>
    </row>
    <row r="191" spans="1:15" ht="12" hidden="1" customHeight="1" x14ac:dyDescent="0.2">
      <c r="A191" s="21"/>
      <c r="B191" s="28"/>
      <c r="C191" s="28"/>
      <c r="D191" s="28"/>
      <c r="E191" s="28"/>
      <c r="F191" s="28"/>
      <c r="G191" s="60"/>
      <c r="H191" s="60"/>
      <c r="I191" s="60"/>
      <c r="L191" s="25">
        <f>IF(E191&lt;300,G191,0)</f>
        <v>0</v>
      </c>
      <c r="M191" s="60">
        <f>IF(B191=490,G191,0)</f>
        <v>0</v>
      </c>
      <c r="N191" s="60">
        <f t="shared" ref="N191:O193" si="65">IF(A191=432,F191,0)</f>
        <v>0</v>
      </c>
      <c r="O191" s="60">
        <f t="shared" si="65"/>
        <v>0</v>
      </c>
    </row>
    <row r="192" spans="1:15" ht="12" hidden="1" customHeight="1" x14ac:dyDescent="0.2">
      <c r="A192" s="21"/>
      <c r="B192" s="28"/>
      <c r="C192" s="28"/>
      <c r="D192" s="28"/>
      <c r="E192" s="28"/>
      <c r="F192" s="28"/>
      <c r="G192" s="60"/>
      <c r="H192" s="60"/>
      <c r="I192" s="60"/>
      <c r="L192" s="25">
        <f>IF(E192&lt;300,G192,0)</f>
        <v>0</v>
      </c>
      <c r="M192" s="60">
        <f>IF(B192=490,G192,0)</f>
        <v>0</v>
      </c>
      <c r="N192" s="60">
        <f t="shared" si="65"/>
        <v>0</v>
      </c>
      <c r="O192" s="60">
        <f t="shared" si="65"/>
        <v>0</v>
      </c>
    </row>
    <row r="193" spans="1:15" ht="12" customHeight="1" x14ac:dyDescent="0.2">
      <c r="A193" s="21"/>
      <c r="B193" s="28"/>
      <c r="C193" s="28"/>
      <c r="D193" s="28"/>
      <c r="E193" s="28"/>
      <c r="F193" s="28"/>
      <c r="G193" s="29"/>
      <c r="H193" s="29"/>
      <c r="I193" s="29"/>
      <c r="J193" s="1" t="str">
        <f>IF(J194="*","*","")</f>
        <v>*</v>
      </c>
      <c r="L193" s="25">
        <f>IF(E193&lt;300,G193,0)</f>
        <v>0</v>
      </c>
      <c r="M193" s="60">
        <f>IF(B193=490,G193,0)</f>
        <v>0</v>
      </c>
      <c r="N193" s="60">
        <f t="shared" si="65"/>
        <v>0</v>
      </c>
      <c r="O193" s="60">
        <f t="shared" si="65"/>
        <v>0</v>
      </c>
    </row>
    <row r="194" spans="1:15" x14ac:dyDescent="0.2">
      <c r="A194" s="21"/>
      <c r="F194" s="18" t="s">
        <v>99</v>
      </c>
      <c r="G194" s="26">
        <f>SUM(G183:G193)</f>
        <v>91099.703999999998</v>
      </c>
      <c r="H194" s="26">
        <f>SUM(H183:H193)</f>
        <v>78152.335578947372</v>
      </c>
      <c r="I194" s="26">
        <f>SUM(I183:I193)</f>
        <v>78783.914526315784</v>
      </c>
      <c r="J194" s="1" t="str">
        <f>IF(G194&gt;0.49,"*","")</f>
        <v>*</v>
      </c>
      <c r="L194" s="26">
        <f>SUM(L183:L193)</f>
        <v>67099.703999999998</v>
      </c>
      <c r="M194" s="26">
        <f>SUM(M183:M193)</f>
        <v>0</v>
      </c>
      <c r="N194" s="26">
        <f>SUM(N183:N193)</f>
        <v>0</v>
      </c>
      <c r="O194" s="26">
        <f>SUM(O183:O193)</f>
        <v>0</v>
      </c>
    </row>
    <row r="195" spans="1:15" x14ac:dyDescent="0.2">
      <c r="A195" s="21"/>
      <c r="F195" s="4"/>
      <c r="J195" s="1" t="str">
        <f>IF(J194="*","*","")</f>
        <v>*</v>
      </c>
      <c r="L195" s="25">
        <f t="shared" si="42"/>
        <v>0</v>
      </c>
      <c r="M195" s="60">
        <f t="shared" ref="M195:M208" si="66">IF(B195=490,G195,0)</f>
        <v>0</v>
      </c>
      <c r="N195" s="60">
        <f>IF(A195=432,F195,0)</f>
        <v>0</v>
      </c>
      <c r="O195" s="60">
        <f>IF(B195=432,G195,0)</f>
        <v>0</v>
      </c>
    </row>
    <row r="196" spans="1:15" x14ac:dyDescent="0.2">
      <c r="A196" s="21"/>
      <c r="B196" s="28">
        <f>'Expense Input'!B24</f>
        <v>100</v>
      </c>
      <c r="C196" s="28">
        <f>'Expense Input'!C24</f>
        <v>4000</v>
      </c>
      <c r="D196" s="28">
        <f>'Expense Input'!D24</f>
        <v>7100</v>
      </c>
      <c r="E196" s="28">
        <f>'Expense Input'!E24</f>
        <v>310</v>
      </c>
      <c r="F196" s="28" t="str">
        <f>'Expense Input'!F24</f>
        <v>Legal and Audit Expense</v>
      </c>
      <c r="G196" s="60">
        <f>'Expense Input'!J24</f>
        <v>12000</v>
      </c>
      <c r="H196" s="60">
        <f>+G196</f>
        <v>12000</v>
      </c>
      <c r="I196" s="60">
        <f>+G196</f>
        <v>12000</v>
      </c>
      <c r="J196" s="1" t="str">
        <f>IF(G196&gt;0.49,"*","")</f>
        <v>*</v>
      </c>
      <c r="L196" s="25">
        <f>IF(E196&lt;300,G196,0)</f>
        <v>0</v>
      </c>
      <c r="M196" s="60">
        <f t="shared" si="66"/>
        <v>0</v>
      </c>
      <c r="N196" s="60">
        <f t="shared" ref="N196:N207" si="67">IF(B196=432,G196,0)</f>
        <v>0</v>
      </c>
      <c r="O196" s="60">
        <f t="shared" ref="O196:O207" si="68">IF(B196=410,G196,0)</f>
        <v>0</v>
      </c>
    </row>
    <row r="197" spans="1:15" hidden="1" x14ac:dyDescent="0.2">
      <c r="A197" s="21"/>
      <c r="B197" s="28">
        <f>'Expense Input'!B25</f>
        <v>100</v>
      </c>
      <c r="C197" s="28">
        <f>'Expense Input'!C25</f>
        <v>4000</v>
      </c>
      <c r="D197" s="28">
        <f>'Expense Input'!D25</f>
        <v>7100</v>
      </c>
      <c r="E197" s="28">
        <f>'Expense Input'!E25</f>
        <v>315</v>
      </c>
      <c r="F197" s="28" t="str">
        <f>'Expense Input'!F25</f>
        <v>Board Contracted Consultants</v>
      </c>
      <c r="G197" s="60">
        <f>'Expense Input'!J25</f>
        <v>0</v>
      </c>
      <c r="H197" s="60">
        <f>+G197</f>
        <v>0</v>
      </c>
      <c r="I197" s="60">
        <f>+G197</f>
        <v>0</v>
      </c>
      <c r="J197" s="1" t="str">
        <f>IF(G197&gt;0.49,"*","")</f>
        <v/>
      </c>
      <c r="L197" s="25">
        <f t="shared" si="42"/>
        <v>0</v>
      </c>
      <c r="M197" s="60">
        <f t="shared" si="66"/>
        <v>0</v>
      </c>
      <c r="N197" s="60">
        <f t="shared" si="67"/>
        <v>0</v>
      </c>
      <c r="O197" s="60">
        <f t="shared" si="68"/>
        <v>0</v>
      </c>
    </row>
    <row r="198" spans="1:15" s="89" customFormat="1" x14ac:dyDescent="0.2">
      <c r="A198" s="88"/>
      <c r="B198" s="28">
        <f>'Expense Input'!B26</f>
        <v>100</v>
      </c>
      <c r="C198" s="28">
        <f>'Expense Input'!C26</f>
        <v>4000</v>
      </c>
      <c r="D198" s="28">
        <f>'Expense Input'!D26</f>
        <v>7100</v>
      </c>
      <c r="E198" s="28">
        <f>'Expense Input'!E26</f>
        <v>320</v>
      </c>
      <c r="F198" s="28" t="str">
        <f>'Expense Input'!F26</f>
        <v>Insurance-D &amp; O</v>
      </c>
      <c r="G198" s="60">
        <f>'Expense Input'!J26</f>
        <v>1684.7340000000002</v>
      </c>
      <c r="H198" s="60">
        <f>+G198</f>
        <v>1684.7340000000002</v>
      </c>
      <c r="I198" s="60">
        <f>+G198</f>
        <v>1684.7340000000002</v>
      </c>
      <c r="J198" s="1" t="str">
        <f>IF(G198&gt;0.49,"*","")</f>
        <v>*</v>
      </c>
      <c r="L198" s="24">
        <f t="shared" si="42"/>
        <v>0</v>
      </c>
      <c r="M198" s="87">
        <f t="shared" si="66"/>
        <v>0</v>
      </c>
      <c r="N198" s="87">
        <f t="shared" si="67"/>
        <v>0</v>
      </c>
      <c r="O198" s="87">
        <f t="shared" si="68"/>
        <v>0</v>
      </c>
    </row>
    <row r="199" spans="1:15" x14ac:dyDescent="0.2">
      <c r="A199" s="21"/>
      <c r="B199" s="28">
        <f>'Expense Input'!B27</f>
        <v>100</v>
      </c>
      <c r="C199" s="28">
        <f>'Expense Input'!C27</f>
        <v>4000</v>
      </c>
      <c r="D199" s="28">
        <f>'Expense Input'!D27</f>
        <v>7100</v>
      </c>
      <c r="E199" s="28">
        <f>'Expense Input'!E27</f>
        <v>790</v>
      </c>
      <c r="F199" s="28" t="str">
        <f>'Expense Input'!F27</f>
        <v>District Admin Fee</v>
      </c>
      <c r="G199" s="60">
        <f>'Expense Input'!J27</f>
        <v>77780.538279607557</v>
      </c>
      <c r="H199" s="60">
        <f>+G199</f>
        <v>77780.538279607557</v>
      </c>
      <c r="I199" s="60">
        <f>+G199</f>
        <v>77780.538279607557</v>
      </c>
      <c r="J199" s="1" t="str">
        <f>IF(G199&gt;0.49,"*","")</f>
        <v>*</v>
      </c>
      <c r="L199" s="25">
        <f t="shared" si="42"/>
        <v>0</v>
      </c>
      <c r="M199" s="60">
        <f t="shared" si="66"/>
        <v>0</v>
      </c>
      <c r="N199" s="60">
        <f t="shared" si="67"/>
        <v>0</v>
      </c>
      <c r="O199" s="60">
        <f t="shared" si="68"/>
        <v>0</v>
      </c>
    </row>
    <row r="200" spans="1:15" x14ac:dyDescent="0.2">
      <c r="A200" s="21"/>
      <c r="B200" s="28">
        <f>'Expense Input'!B28</f>
        <v>100</v>
      </c>
      <c r="C200" s="28">
        <f>'Expense Input'!C28</f>
        <v>4000</v>
      </c>
      <c r="D200" s="28">
        <f>'Expense Input'!D28</f>
        <v>7100</v>
      </c>
      <c r="E200" s="28">
        <f>'Expense Input'!E28</f>
        <v>795</v>
      </c>
      <c r="F200" s="28" t="str">
        <f>'Expense Input'!F28</f>
        <v>Bank Charges</v>
      </c>
      <c r="G200" s="60">
        <f>'Expense Input'!J28</f>
        <v>52.631999999999998</v>
      </c>
      <c r="H200" s="60">
        <f>+G200</f>
        <v>52.631999999999998</v>
      </c>
      <c r="I200" s="60">
        <f>+G200</f>
        <v>52.631999999999998</v>
      </c>
      <c r="J200" s="1" t="str">
        <f>IF(G200&gt;0.49,"*","")</f>
        <v>*</v>
      </c>
      <c r="L200" s="25">
        <f t="shared" si="42"/>
        <v>0</v>
      </c>
      <c r="M200" s="60">
        <f t="shared" si="66"/>
        <v>0</v>
      </c>
      <c r="N200" s="60">
        <f t="shared" si="67"/>
        <v>0</v>
      </c>
      <c r="O200" s="60">
        <f t="shared" si="68"/>
        <v>0</v>
      </c>
    </row>
    <row r="201" spans="1:15" s="89" customFormat="1" hidden="1" x14ac:dyDescent="0.2">
      <c r="A201" s="88"/>
      <c r="B201" s="28"/>
      <c r="C201" s="28"/>
      <c r="D201" s="28"/>
      <c r="E201" s="28"/>
      <c r="F201" s="28"/>
      <c r="G201" s="60"/>
      <c r="H201" s="60"/>
      <c r="I201" s="60"/>
      <c r="J201" s="1"/>
      <c r="L201" s="24">
        <f t="shared" si="42"/>
        <v>0</v>
      </c>
      <c r="M201" s="87">
        <f t="shared" si="66"/>
        <v>0</v>
      </c>
      <c r="N201" s="87">
        <f t="shared" si="67"/>
        <v>0</v>
      </c>
      <c r="O201" s="87">
        <f t="shared" si="68"/>
        <v>0</v>
      </c>
    </row>
    <row r="202" spans="1:15" hidden="1" x14ac:dyDescent="0.2">
      <c r="A202" s="21"/>
      <c r="B202" s="28"/>
      <c r="C202" s="28"/>
      <c r="D202" s="28"/>
      <c r="E202" s="28"/>
      <c r="F202" s="28"/>
      <c r="G202" s="60"/>
      <c r="H202" s="60"/>
      <c r="I202" s="60"/>
      <c r="L202" s="25">
        <f t="shared" si="42"/>
        <v>0</v>
      </c>
      <c r="M202" s="60">
        <f t="shared" si="66"/>
        <v>0</v>
      </c>
      <c r="N202" s="60">
        <f t="shared" si="67"/>
        <v>0</v>
      </c>
      <c r="O202" s="60">
        <f t="shared" si="68"/>
        <v>0</v>
      </c>
    </row>
    <row r="203" spans="1:15" hidden="1" x14ac:dyDescent="0.2">
      <c r="A203" s="21"/>
      <c r="B203" s="28"/>
      <c r="C203" s="28"/>
      <c r="D203" s="28"/>
      <c r="E203" s="28"/>
      <c r="F203" s="28"/>
      <c r="G203" s="60"/>
      <c r="H203" s="60"/>
      <c r="I203" s="60"/>
      <c r="L203" s="25">
        <f t="shared" si="42"/>
        <v>0</v>
      </c>
      <c r="M203" s="60">
        <f t="shared" si="66"/>
        <v>0</v>
      </c>
      <c r="N203" s="60">
        <f t="shared" si="67"/>
        <v>0</v>
      </c>
      <c r="O203" s="60">
        <f t="shared" si="68"/>
        <v>0</v>
      </c>
    </row>
    <row r="204" spans="1:15" hidden="1" x14ac:dyDescent="0.2">
      <c r="A204" s="21"/>
      <c r="B204" s="28"/>
      <c r="C204" s="28"/>
      <c r="D204" s="28"/>
      <c r="E204" s="28"/>
      <c r="F204" s="28"/>
      <c r="G204" s="60"/>
      <c r="H204" s="60">
        <f>+G204</f>
        <v>0</v>
      </c>
      <c r="I204" s="60">
        <f>+G204</f>
        <v>0</v>
      </c>
      <c r="J204" s="1" t="str">
        <f>IF(G204&gt;0.49,"*","")</f>
        <v/>
      </c>
      <c r="L204" s="25">
        <f t="shared" si="42"/>
        <v>0</v>
      </c>
      <c r="M204" s="60">
        <f t="shared" si="66"/>
        <v>0</v>
      </c>
      <c r="N204" s="60">
        <f t="shared" si="67"/>
        <v>0</v>
      </c>
      <c r="O204" s="60">
        <f t="shared" si="68"/>
        <v>0</v>
      </c>
    </row>
    <row r="205" spans="1:15" hidden="1" x14ac:dyDescent="0.2">
      <c r="A205" s="21"/>
      <c r="B205" s="28"/>
      <c r="C205" s="28"/>
      <c r="D205" s="28"/>
      <c r="E205" s="28"/>
      <c r="F205" s="28"/>
      <c r="G205" s="60"/>
      <c r="H205" s="60">
        <f>+G205</f>
        <v>0</v>
      </c>
      <c r="I205" s="60">
        <f>+G205</f>
        <v>0</v>
      </c>
      <c r="J205" s="1" t="str">
        <f>IF(G205&gt;0.49,"*","")</f>
        <v/>
      </c>
      <c r="L205" s="25">
        <f t="shared" si="42"/>
        <v>0</v>
      </c>
      <c r="M205" s="60">
        <f t="shared" si="66"/>
        <v>0</v>
      </c>
      <c r="N205" s="60">
        <f t="shared" si="67"/>
        <v>0</v>
      </c>
      <c r="O205" s="60">
        <f t="shared" si="68"/>
        <v>0</v>
      </c>
    </row>
    <row r="206" spans="1:15" hidden="1" x14ac:dyDescent="0.2">
      <c r="A206" s="21"/>
      <c r="B206" s="28"/>
      <c r="C206" s="28"/>
      <c r="D206" s="28"/>
      <c r="E206" s="28"/>
      <c r="F206" s="28"/>
      <c r="G206" s="60"/>
      <c r="H206" s="60">
        <f>+G206</f>
        <v>0</v>
      </c>
      <c r="I206" s="60">
        <f>+G206</f>
        <v>0</v>
      </c>
      <c r="J206" s="1" t="str">
        <f>IF(G206&gt;0.49,"*","")</f>
        <v/>
      </c>
      <c r="L206" s="25">
        <f t="shared" si="42"/>
        <v>0</v>
      </c>
      <c r="M206" s="60">
        <f t="shared" si="66"/>
        <v>0</v>
      </c>
      <c r="N206" s="60">
        <f t="shared" si="67"/>
        <v>0</v>
      </c>
      <c r="O206" s="60">
        <f t="shared" si="68"/>
        <v>0</v>
      </c>
    </row>
    <row r="207" spans="1:15" hidden="1" x14ac:dyDescent="0.2">
      <c r="A207" s="21"/>
      <c r="B207" s="28"/>
      <c r="C207" s="28"/>
      <c r="D207" s="28"/>
      <c r="E207" s="28"/>
      <c r="F207" s="28"/>
      <c r="G207" s="60"/>
      <c r="H207" s="60">
        <f>+G207</f>
        <v>0</v>
      </c>
      <c r="I207" s="60">
        <f>+G207</f>
        <v>0</v>
      </c>
      <c r="J207" s="1" t="str">
        <f>IF(G207&gt;0.49,"*","")</f>
        <v/>
      </c>
      <c r="L207" s="25">
        <f t="shared" si="42"/>
        <v>0</v>
      </c>
      <c r="M207" s="60">
        <f t="shared" si="66"/>
        <v>0</v>
      </c>
      <c r="N207" s="60">
        <f t="shared" si="67"/>
        <v>0</v>
      </c>
      <c r="O207" s="60">
        <f t="shared" si="68"/>
        <v>0</v>
      </c>
    </row>
    <row r="208" spans="1:15" x14ac:dyDescent="0.2">
      <c r="A208" s="21"/>
      <c r="B208" s="28"/>
      <c r="C208" s="28"/>
      <c r="D208" s="28"/>
      <c r="E208" s="28"/>
      <c r="F208" s="28"/>
      <c r="G208" s="29"/>
      <c r="H208" s="60"/>
      <c r="I208" s="60"/>
      <c r="J208" s="1" t="str">
        <f>IF(J209="*","*","")</f>
        <v>*</v>
      </c>
      <c r="L208" s="25">
        <f t="shared" si="42"/>
        <v>0</v>
      </c>
      <c r="M208" s="60">
        <f t="shared" si="66"/>
        <v>0</v>
      </c>
      <c r="N208" s="60">
        <f>IF(A208=432,F208,0)</f>
        <v>0</v>
      </c>
      <c r="O208" s="60">
        <f>IF(B208=432,G208,0)</f>
        <v>0</v>
      </c>
    </row>
    <row r="209" spans="1:15" x14ac:dyDescent="0.2">
      <c r="A209" s="21"/>
      <c r="F209" s="18" t="s">
        <v>49</v>
      </c>
      <c r="G209" s="26">
        <f>SUM(G196:G208)</f>
        <v>91517.904279607552</v>
      </c>
      <c r="H209" s="26">
        <f>SUM(H196:H208)</f>
        <v>91517.904279607552</v>
      </c>
      <c r="I209" s="26">
        <f>SUM(I196:I208)</f>
        <v>91517.904279607552</v>
      </c>
      <c r="J209" s="1" t="str">
        <f>IF(G209&gt;0.49,"*","")</f>
        <v>*</v>
      </c>
      <c r="L209" s="26">
        <f>SUM(L195:L208)</f>
        <v>0</v>
      </c>
      <c r="M209" s="26">
        <f>SUM(M197:M208)</f>
        <v>0</v>
      </c>
      <c r="N209" s="26">
        <f>SUM(N197:N208)</f>
        <v>0</v>
      </c>
      <c r="O209" s="26">
        <f>SUM(O197:O208)</f>
        <v>0</v>
      </c>
    </row>
    <row r="210" spans="1:15" x14ac:dyDescent="0.2">
      <c r="A210" s="21"/>
      <c r="B210" s="15"/>
      <c r="C210" s="15"/>
      <c r="D210" s="15"/>
      <c r="E210" s="15"/>
      <c r="F210" s="14"/>
      <c r="J210" s="1" t="str">
        <f>IF(J209="*","*","")</f>
        <v>*</v>
      </c>
      <c r="L210" s="25">
        <f t="shared" ref="L210:L215" si="69">IF(E210&lt;300,G210,0)</f>
        <v>0</v>
      </c>
      <c r="M210" s="60">
        <f t="shared" ref="M210:M215" si="70">IF(B210=490,G210,0)</f>
        <v>0</v>
      </c>
      <c r="N210" s="60">
        <f>IF(A210=432,F210,0)</f>
        <v>0</v>
      </c>
      <c r="O210" s="60">
        <f>IF(B210=432,G210,0)</f>
        <v>0</v>
      </c>
    </row>
    <row r="211" spans="1:15" hidden="1" x14ac:dyDescent="0.2">
      <c r="A211" s="21"/>
      <c r="B211" s="28"/>
      <c r="C211" s="28"/>
      <c r="D211" s="28"/>
      <c r="E211" s="28"/>
      <c r="F211" s="28"/>
      <c r="G211" s="60"/>
      <c r="H211" s="60"/>
      <c r="I211" s="60"/>
      <c r="J211" s="1" t="str">
        <f>IF(G211&gt;0.49,"*","")</f>
        <v/>
      </c>
      <c r="L211" s="25">
        <f t="shared" si="69"/>
        <v>0</v>
      </c>
      <c r="M211" s="60">
        <f t="shared" si="70"/>
        <v>0</v>
      </c>
      <c r="N211" s="60">
        <f>IF(B211=432,G211,0)</f>
        <v>0</v>
      </c>
      <c r="O211" s="60">
        <f>IF(B211=410,G211,0)</f>
        <v>0</v>
      </c>
    </row>
    <row r="212" spans="1:15" hidden="1" x14ac:dyDescent="0.2">
      <c r="A212" s="21"/>
      <c r="B212" s="28"/>
      <c r="C212" s="28"/>
      <c r="D212" s="28"/>
      <c r="E212" s="28"/>
      <c r="F212" s="28"/>
      <c r="G212" s="60"/>
      <c r="H212" s="60"/>
      <c r="I212" s="60"/>
      <c r="J212" s="1" t="str">
        <f>IF(G212&gt;0.49,"*","")</f>
        <v/>
      </c>
      <c r="L212" s="25">
        <f t="shared" si="69"/>
        <v>0</v>
      </c>
      <c r="M212" s="60">
        <f t="shared" si="70"/>
        <v>0</v>
      </c>
      <c r="N212" s="60">
        <f>IF(B212=432,G212,0)</f>
        <v>0</v>
      </c>
      <c r="O212" s="60">
        <f>IF(B212=410,G212,0)</f>
        <v>0</v>
      </c>
    </row>
    <row r="213" spans="1:15" hidden="1" x14ac:dyDescent="0.2">
      <c r="A213" s="21"/>
      <c r="B213" s="28"/>
      <c r="C213" s="28"/>
      <c r="D213" s="28"/>
      <c r="E213" s="28"/>
      <c r="F213" s="28"/>
      <c r="G213" s="60"/>
      <c r="H213" s="60"/>
      <c r="I213" s="60"/>
      <c r="J213" s="1" t="str">
        <f>IF(G213&gt;0.49,"*","")</f>
        <v/>
      </c>
      <c r="L213" s="25">
        <f t="shared" si="69"/>
        <v>0</v>
      </c>
      <c r="M213" s="60">
        <f t="shared" si="70"/>
        <v>0</v>
      </c>
      <c r="N213" s="60">
        <f>IF(B213=432,G213,0)</f>
        <v>0</v>
      </c>
      <c r="O213" s="60">
        <f>IF(B213=410,G213,0)</f>
        <v>0</v>
      </c>
    </row>
    <row r="214" spans="1:15" hidden="1" x14ac:dyDescent="0.2">
      <c r="A214" s="21"/>
      <c r="B214" s="28"/>
      <c r="C214" s="28"/>
      <c r="D214" s="28"/>
      <c r="E214" s="28"/>
      <c r="F214" s="28"/>
      <c r="G214" s="60"/>
      <c r="H214" s="60"/>
      <c r="I214" s="60"/>
      <c r="J214" s="1" t="str">
        <f>IF(G214&gt;0.49,"*","")</f>
        <v/>
      </c>
      <c r="L214" s="25">
        <f t="shared" si="69"/>
        <v>0</v>
      </c>
      <c r="M214" s="60">
        <f t="shared" si="70"/>
        <v>0</v>
      </c>
      <c r="N214" s="60">
        <f>IF(B214=432,G214,0)</f>
        <v>0</v>
      </c>
      <c r="O214" s="60">
        <f>IF(B214=410,G214,0)</f>
        <v>0</v>
      </c>
    </row>
    <row r="215" spans="1:15" hidden="1" x14ac:dyDescent="0.2">
      <c r="A215" s="21"/>
      <c r="B215" s="28"/>
      <c r="C215" s="28"/>
      <c r="D215" s="28"/>
      <c r="E215" s="28"/>
      <c r="F215" s="28"/>
      <c r="G215" s="29"/>
      <c r="H215" s="29"/>
      <c r="I215" s="29"/>
      <c r="J215" s="1" t="str">
        <f>IF(J216="*","*","")</f>
        <v/>
      </c>
      <c r="L215" s="25">
        <f t="shared" si="69"/>
        <v>0</v>
      </c>
      <c r="M215" s="60">
        <f t="shared" si="70"/>
        <v>0</v>
      </c>
      <c r="N215" s="60">
        <f>IF(A215=432,F215,0)</f>
        <v>0</v>
      </c>
      <c r="O215" s="60">
        <f>IF(B215=432,G215,0)</f>
        <v>0</v>
      </c>
    </row>
    <row r="216" spans="1:15" hidden="1" x14ac:dyDescent="0.2">
      <c r="A216" s="21"/>
      <c r="F216" s="18" t="s">
        <v>167</v>
      </c>
      <c r="G216" s="26">
        <f>SUM(G211:G215)</f>
        <v>0</v>
      </c>
      <c r="H216" s="26">
        <f>SUM(H202:H215)</f>
        <v>91517.904279607552</v>
      </c>
      <c r="I216" s="26">
        <f>SUM(I202:I215)</f>
        <v>91517.904279607552</v>
      </c>
      <c r="J216" s="1" t="str">
        <f>IF(G216&gt;0.49,"*","")</f>
        <v/>
      </c>
      <c r="L216" s="26">
        <f>SUM(L201:L215)</f>
        <v>0</v>
      </c>
      <c r="M216" s="26">
        <f>SUM(M202:M215)</f>
        <v>0</v>
      </c>
      <c r="N216" s="26">
        <f>SUM(N202:N215)</f>
        <v>0</v>
      </c>
      <c r="O216" s="26">
        <f>SUM(O202:O215)</f>
        <v>0</v>
      </c>
    </row>
    <row r="217" spans="1:15" hidden="1" x14ac:dyDescent="0.2">
      <c r="A217" s="21"/>
      <c r="B217" s="15"/>
      <c r="C217" s="15"/>
      <c r="D217" s="15"/>
      <c r="E217" s="15"/>
      <c r="F217" s="14"/>
      <c r="J217" s="1" t="str">
        <f>IF(J216="*","*","")</f>
        <v/>
      </c>
      <c r="L217" s="25">
        <f t="shared" si="42"/>
        <v>0</v>
      </c>
      <c r="M217" s="60">
        <f t="shared" ref="M217:M236" si="71">IF(B217=490,G217,0)</f>
        <v>0</v>
      </c>
      <c r="N217" s="60">
        <f>IF(A217=432,F217,0)</f>
        <v>0</v>
      </c>
      <c r="O217" s="60">
        <f>IF(B217=432,G217,0)</f>
        <v>0</v>
      </c>
    </row>
    <row r="218" spans="1:15" x14ac:dyDescent="0.2">
      <c r="A218" s="21">
        <v>1</v>
      </c>
      <c r="B218" s="28">
        <v>100</v>
      </c>
      <c r="C218" s="28">
        <v>4000</v>
      </c>
      <c r="D218" s="28">
        <v>7300</v>
      </c>
      <c r="E218" s="28">
        <v>110</v>
      </c>
      <c r="F218" s="28" t="s">
        <v>76</v>
      </c>
      <c r="G218" s="25">
        <f>+'Payroll Input'!E97</f>
        <v>97799</v>
      </c>
      <c r="H218" s="60">
        <f>+G218</f>
        <v>97799</v>
      </c>
      <c r="I218" s="60">
        <f>+G218</f>
        <v>97799</v>
      </c>
      <c r="J218" s="1" t="str">
        <f t="shared" ref="J218:J229" si="72">IF(G218&gt;0.49,"*","")</f>
        <v>*</v>
      </c>
      <c r="L218" s="25">
        <f t="shared" si="42"/>
        <v>97799</v>
      </c>
      <c r="M218" s="60">
        <f t="shared" si="71"/>
        <v>0</v>
      </c>
      <c r="N218" s="60">
        <f t="shared" ref="N218:N234" si="73">IF(B218=432,G218,0)</f>
        <v>0</v>
      </c>
      <c r="O218" s="60">
        <f t="shared" ref="O218:O234" si="74">IF(B218=410,G218,0)</f>
        <v>0</v>
      </c>
    </row>
    <row r="219" spans="1:15" x14ac:dyDescent="0.2">
      <c r="A219" s="21">
        <v>1</v>
      </c>
      <c r="B219" s="28">
        <v>100</v>
      </c>
      <c r="C219" s="28">
        <v>4000</v>
      </c>
      <c r="D219" s="28">
        <v>7300</v>
      </c>
      <c r="E219" s="28">
        <v>160</v>
      </c>
      <c r="F219" s="28" t="s">
        <v>9</v>
      </c>
      <c r="G219" s="25">
        <f>+'Payroll Input'!E109</f>
        <v>172576</v>
      </c>
      <c r="H219" s="60">
        <f t="shared" ref="H219:H224" si="75">+G219</f>
        <v>172576</v>
      </c>
      <c r="I219" s="60">
        <f t="shared" ref="I219:I224" si="76">+G219</f>
        <v>172576</v>
      </c>
      <c r="J219" s="1" t="str">
        <f t="shared" si="72"/>
        <v>*</v>
      </c>
      <c r="L219" s="25">
        <f t="shared" si="42"/>
        <v>172576</v>
      </c>
      <c r="M219" s="60">
        <f t="shared" si="71"/>
        <v>0</v>
      </c>
      <c r="N219" s="60">
        <f t="shared" si="73"/>
        <v>0</v>
      </c>
      <c r="O219" s="60">
        <f t="shared" si="74"/>
        <v>0</v>
      </c>
    </row>
    <row r="220" spans="1:15" x14ac:dyDescent="0.2">
      <c r="A220" s="21">
        <v>1</v>
      </c>
      <c r="B220" s="28">
        <v>100</v>
      </c>
      <c r="C220" s="28">
        <v>4000</v>
      </c>
      <c r="D220" s="28">
        <v>7300</v>
      </c>
      <c r="E220" s="28">
        <v>210</v>
      </c>
      <c r="F220" s="28" t="s">
        <v>52</v>
      </c>
      <c r="G220" s="25">
        <f>+'Payroll Input'!F97+'Payroll Input'!F109</f>
        <v>10166.100000000002</v>
      </c>
      <c r="H220" s="60">
        <f t="shared" si="75"/>
        <v>10166.100000000002</v>
      </c>
      <c r="I220" s="60">
        <f t="shared" si="76"/>
        <v>10166.100000000002</v>
      </c>
      <c r="J220" s="1" t="str">
        <f t="shared" si="72"/>
        <v>*</v>
      </c>
      <c r="L220" s="25">
        <f t="shared" si="42"/>
        <v>10166.100000000002</v>
      </c>
      <c r="M220" s="60">
        <f t="shared" si="71"/>
        <v>0</v>
      </c>
      <c r="N220" s="60">
        <f t="shared" si="73"/>
        <v>0</v>
      </c>
      <c r="O220" s="60">
        <f t="shared" si="74"/>
        <v>0</v>
      </c>
    </row>
    <row r="221" spans="1:15" x14ac:dyDescent="0.2">
      <c r="A221" s="21">
        <v>1</v>
      </c>
      <c r="B221" s="28">
        <v>100</v>
      </c>
      <c r="C221" s="28">
        <v>4000</v>
      </c>
      <c r="D221" s="28">
        <v>7300</v>
      </c>
      <c r="E221" s="28">
        <v>220</v>
      </c>
      <c r="F221" s="28" t="s">
        <v>53</v>
      </c>
      <c r="G221" s="25">
        <f>+'Payroll Input'!H97+'Payroll Input'!H109</f>
        <v>20683.6875</v>
      </c>
      <c r="H221" s="60">
        <f t="shared" si="75"/>
        <v>20683.6875</v>
      </c>
      <c r="I221" s="60">
        <f t="shared" si="76"/>
        <v>20683.6875</v>
      </c>
      <c r="J221" s="1" t="str">
        <f t="shared" si="72"/>
        <v>*</v>
      </c>
      <c r="L221" s="25">
        <f t="shared" si="42"/>
        <v>20683.6875</v>
      </c>
      <c r="M221" s="60">
        <f t="shared" si="71"/>
        <v>0</v>
      </c>
      <c r="N221" s="60">
        <f t="shared" si="73"/>
        <v>0</v>
      </c>
      <c r="O221" s="60">
        <f t="shared" si="74"/>
        <v>0</v>
      </c>
    </row>
    <row r="222" spans="1:15" x14ac:dyDescent="0.2">
      <c r="A222" s="21">
        <v>1</v>
      </c>
      <c r="B222" s="28">
        <v>100</v>
      </c>
      <c r="C222" s="28">
        <v>4000</v>
      </c>
      <c r="D222" s="28">
        <v>7300</v>
      </c>
      <c r="E222" s="28">
        <v>230</v>
      </c>
      <c r="F222" s="28" t="s">
        <v>54</v>
      </c>
      <c r="G222" s="25">
        <f>+'Payroll Input'!I97+'Payroll Input'!I109</f>
        <v>34849.216</v>
      </c>
      <c r="H222" s="60">
        <f t="shared" si="75"/>
        <v>34849.216</v>
      </c>
      <c r="I222" s="60">
        <f t="shared" si="76"/>
        <v>34849.216</v>
      </c>
      <c r="J222" s="1" t="str">
        <f t="shared" si="72"/>
        <v>*</v>
      </c>
      <c r="L222" s="25">
        <f t="shared" si="42"/>
        <v>34849.216</v>
      </c>
      <c r="M222" s="60">
        <f t="shared" si="71"/>
        <v>0</v>
      </c>
      <c r="N222" s="60">
        <f t="shared" si="73"/>
        <v>0</v>
      </c>
      <c r="O222" s="60">
        <f t="shared" si="74"/>
        <v>0</v>
      </c>
    </row>
    <row r="223" spans="1:15" x14ac:dyDescent="0.2">
      <c r="A223" s="21">
        <v>1</v>
      </c>
      <c r="B223" s="28">
        <v>100</v>
      </c>
      <c r="C223" s="28">
        <v>4000</v>
      </c>
      <c r="D223" s="28">
        <v>7300</v>
      </c>
      <c r="E223" s="28">
        <v>240</v>
      </c>
      <c r="F223" s="28" t="s">
        <v>55</v>
      </c>
      <c r="G223" s="25">
        <f>+'Payroll Input'!K97+'Payroll Input'!K109</f>
        <v>1378.9125000000001</v>
      </c>
      <c r="H223" s="60">
        <f t="shared" si="75"/>
        <v>1378.9125000000001</v>
      </c>
      <c r="I223" s="60">
        <f t="shared" si="76"/>
        <v>1378.9125000000001</v>
      </c>
      <c r="J223" s="1" t="str">
        <f t="shared" si="72"/>
        <v>*</v>
      </c>
      <c r="L223" s="25">
        <f t="shared" si="42"/>
        <v>1378.9125000000001</v>
      </c>
      <c r="M223" s="60">
        <f t="shared" si="71"/>
        <v>0</v>
      </c>
      <c r="N223" s="60">
        <f t="shared" si="73"/>
        <v>0</v>
      </c>
      <c r="O223" s="60">
        <f t="shared" si="74"/>
        <v>0</v>
      </c>
    </row>
    <row r="224" spans="1:15" x14ac:dyDescent="0.2">
      <c r="A224" s="21">
        <v>1</v>
      </c>
      <c r="B224" s="28">
        <v>100</v>
      </c>
      <c r="C224" s="28">
        <v>4000</v>
      </c>
      <c r="D224" s="28">
        <v>7300</v>
      </c>
      <c r="E224" s="28">
        <v>250</v>
      </c>
      <c r="F224" s="28" t="s">
        <v>56</v>
      </c>
      <c r="G224" s="25">
        <f>+'Payroll Input'!L97+'Payroll Input'!L109</f>
        <v>1134</v>
      </c>
      <c r="H224" s="60">
        <f t="shared" si="75"/>
        <v>1134</v>
      </c>
      <c r="I224" s="60">
        <f t="shared" si="76"/>
        <v>1134</v>
      </c>
      <c r="J224" s="1" t="str">
        <f t="shared" si="72"/>
        <v>*</v>
      </c>
      <c r="L224" s="25">
        <f t="shared" si="42"/>
        <v>1134</v>
      </c>
      <c r="M224" s="60">
        <f t="shared" si="71"/>
        <v>0</v>
      </c>
      <c r="N224" s="60">
        <f t="shared" si="73"/>
        <v>0</v>
      </c>
      <c r="O224" s="60">
        <f t="shared" si="74"/>
        <v>0</v>
      </c>
    </row>
    <row r="225" spans="1:15" hidden="1" x14ac:dyDescent="0.2">
      <c r="A225" s="21"/>
      <c r="B225" s="28"/>
      <c r="C225" s="28"/>
      <c r="D225" s="28"/>
      <c r="E225" s="28"/>
      <c r="F225" s="28"/>
      <c r="G225" s="60"/>
      <c r="H225" s="60"/>
      <c r="I225" s="60"/>
      <c r="J225" s="1" t="str">
        <f t="shared" si="72"/>
        <v/>
      </c>
      <c r="L225" s="25">
        <f t="shared" si="42"/>
        <v>0</v>
      </c>
      <c r="M225" s="60">
        <f t="shared" si="71"/>
        <v>0</v>
      </c>
      <c r="N225" s="60">
        <f t="shared" si="73"/>
        <v>0</v>
      </c>
      <c r="O225" s="60">
        <f t="shared" si="74"/>
        <v>0</v>
      </c>
    </row>
    <row r="226" spans="1:15" hidden="1" x14ac:dyDescent="0.2">
      <c r="A226" s="21"/>
      <c r="B226" s="28"/>
      <c r="C226" s="28"/>
      <c r="D226" s="28"/>
      <c r="E226" s="28"/>
      <c r="F226" s="28"/>
      <c r="G226" s="60"/>
      <c r="H226" s="60"/>
      <c r="I226" s="60"/>
      <c r="J226" s="1" t="str">
        <f t="shared" si="72"/>
        <v/>
      </c>
      <c r="L226" s="25">
        <f t="shared" si="42"/>
        <v>0</v>
      </c>
      <c r="M226" s="60">
        <f t="shared" si="71"/>
        <v>0</v>
      </c>
      <c r="N226" s="60">
        <f t="shared" si="73"/>
        <v>0</v>
      </c>
      <c r="O226" s="60">
        <f t="shared" si="74"/>
        <v>0</v>
      </c>
    </row>
    <row r="227" spans="1:15" hidden="1" x14ac:dyDescent="0.2">
      <c r="A227" s="21"/>
      <c r="B227" s="28"/>
      <c r="C227" s="28"/>
      <c r="D227" s="28"/>
      <c r="E227" s="28"/>
      <c r="F227" s="28"/>
      <c r="G227" s="60"/>
      <c r="H227" s="60"/>
      <c r="I227" s="60"/>
      <c r="J227" s="1" t="str">
        <f t="shared" si="72"/>
        <v/>
      </c>
      <c r="L227" s="25">
        <f t="shared" si="42"/>
        <v>0</v>
      </c>
      <c r="M227" s="60">
        <f t="shared" si="71"/>
        <v>0</v>
      </c>
      <c r="N227" s="60">
        <f t="shared" si="73"/>
        <v>0</v>
      </c>
      <c r="O227" s="60">
        <f t="shared" si="74"/>
        <v>0</v>
      </c>
    </row>
    <row r="228" spans="1:15" hidden="1" x14ac:dyDescent="0.2">
      <c r="A228" s="21"/>
      <c r="B228" s="28"/>
      <c r="C228" s="28"/>
      <c r="D228" s="28"/>
      <c r="E228" s="28"/>
      <c r="F228" s="28"/>
      <c r="G228" s="60"/>
      <c r="H228" s="60"/>
      <c r="I228" s="60"/>
      <c r="J228" s="1" t="str">
        <f t="shared" si="72"/>
        <v/>
      </c>
      <c r="L228" s="25">
        <f t="shared" si="42"/>
        <v>0</v>
      </c>
      <c r="M228" s="60">
        <f t="shared" si="71"/>
        <v>0</v>
      </c>
      <c r="N228" s="60">
        <f t="shared" si="73"/>
        <v>0</v>
      </c>
      <c r="O228" s="60">
        <f t="shared" si="74"/>
        <v>0</v>
      </c>
    </row>
    <row r="229" spans="1:15" x14ac:dyDescent="0.2">
      <c r="A229" s="21"/>
      <c r="B229" s="28">
        <f>'Expense Input'!B29</f>
        <v>100</v>
      </c>
      <c r="C229" s="28">
        <f>'Expense Input'!C29</f>
        <v>4000</v>
      </c>
      <c r="D229" s="28">
        <f>'Expense Input'!D29</f>
        <v>7300</v>
      </c>
      <c r="E229" s="28">
        <f>'Expense Input'!E29</f>
        <v>330</v>
      </c>
      <c r="F229" s="28" t="str">
        <f>'Expense Input'!F29</f>
        <v>Sch Admin Travel /Conferences /Workshops</v>
      </c>
      <c r="G229" s="60">
        <f>'Expense Input'!J29</f>
        <v>1582.2647999999997</v>
      </c>
      <c r="H229" s="60">
        <f>+G229</f>
        <v>1582.2647999999997</v>
      </c>
      <c r="I229" s="60">
        <f>+G229</f>
        <v>1582.2647999999997</v>
      </c>
      <c r="J229" s="1" t="str">
        <f t="shared" si="72"/>
        <v>*</v>
      </c>
      <c r="L229" s="25">
        <f t="shared" si="42"/>
        <v>0</v>
      </c>
      <c r="M229" s="60">
        <f t="shared" si="71"/>
        <v>0</v>
      </c>
      <c r="N229" s="60">
        <f t="shared" si="73"/>
        <v>0</v>
      </c>
      <c r="O229" s="60">
        <f t="shared" si="74"/>
        <v>0</v>
      </c>
    </row>
    <row r="230" spans="1:15" x14ac:dyDescent="0.2">
      <c r="A230" s="21"/>
      <c r="B230" s="28">
        <f>'Expense Input'!B30</f>
        <v>100</v>
      </c>
      <c r="C230" s="28">
        <f>'Expense Input'!C30</f>
        <v>4000</v>
      </c>
      <c r="D230" s="28">
        <f>'Expense Input'!D30</f>
        <v>7300</v>
      </c>
      <c r="E230" s="28">
        <f>'Expense Input'!E30</f>
        <v>370</v>
      </c>
      <c r="F230" s="28" t="str">
        <f>'Expense Input'!F30</f>
        <v>School Admin Postage</v>
      </c>
      <c r="G230" s="60">
        <f>'Expense Input'!J30</f>
        <v>2455.6377600000005</v>
      </c>
      <c r="H230" s="60">
        <f t="shared" ref="H230:H235" si="77">+G230</f>
        <v>2455.6377600000005</v>
      </c>
      <c r="I230" s="60">
        <f t="shared" ref="I230:I235" si="78">+G230</f>
        <v>2455.6377600000005</v>
      </c>
      <c r="J230" s="1" t="str">
        <f t="shared" ref="J230:J235" si="79">IF(G230&gt;0.49,"*","")</f>
        <v>*</v>
      </c>
      <c r="L230" s="25">
        <f t="shared" si="42"/>
        <v>0</v>
      </c>
      <c r="M230" s="60">
        <f t="shared" si="71"/>
        <v>0</v>
      </c>
      <c r="N230" s="60">
        <f t="shared" si="73"/>
        <v>0</v>
      </c>
      <c r="O230" s="60">
        <f t="shared" si="74"/>
        <v>0</v>
      </c>
    </row>
    <row r="231" spans="1:15" x14ac:dyDescent="0.2">
      <c r="A231" s="21"/>
      <c r="B231" s="28">
        <f>'Expense Input'!B31</f>
        <v>100</v>
      </c>
      <c r="C231" s="28">
        <f>'Expense Input'!C31</f>
        <v>4000</v>
      </c>
      <c r="D231" s="28">
        <f>'Expense Input'!D31</f>
        <v>7300</v>
      </c>
      <c r="E231" s="28">
        <f>'Expense Input'!E31</f>
        <v>390</v>
      </c>
      <c r="F231" s="28" t="str">
        <f>'Expense Input'!F31</f>
        <v>School Admin Advertising</v>
      </c>
      <c r="G231" s="60">
        <f>'Expense Input'!J31</f>
        <v>20000</v>
      </c>
      <c r="H231" s="60">
        <f t="shared" si="77"/>
        <v>20000</v>
      </c>
      <c r="I231" s="60">
        <f t="shared" si="78"/>
        <v>20000</v>
      </c>
      <c r="J231" s="1" t="str">
        <f t="shared" si="79"/>
        <v>*</v>
      </c>
      <c r="L231" s="25">
        <f t="shared" si="42"/>
        <v>0</v>
      </c>
      <c r="M231" s="60">
        <f t="shared" si="71"/>
        <v>0</v>
      </c>
      <c r="N231" s="60">
        <f t="shared" si="73"/>
        <v>0</v>
      </c>
      <c r="O231" s="60">
        <f t="shared" si="74"/>
        <v>0</v>
      </c>
    </row>
    <row r="232" spans="1:15" x14ac:dyDescent="0.2">
      <c r="A232" s="21"/>
      <c r="B232" s="28">
        <f>'Expense Input'!B32</f>
        <v>100</v>
      </c>
      <c r="C232" s="28">
        <f>'Expense Input'!C32</f>
        <v>4000</v>
      </c>
      <c r="D232" s="28">
        <f>'Expense Input'!D32</f>
        <v>7300</v>
      </c>
      <c r="E232" s="28">
        <f>'Expense Input'!E32</f>
        <v>510</v>
      </c>
      <c r="F232" s="28" t="str">
        <f>'Expense Input'!F32</f>
        <v>School Admin Office Expense</v>
      </c>
      <c r="G232" s="60">
        <f>'Expense Input'!J32</f>
        <v>20920.62024</v>
      </c>
      <c r="H232" s="60">
        <f t="shared" si="77"/>
        <v>20920.62024</v>
      </c>
      <c r="I232" s="60">
        <f t="shared" si="78"/>
        <v>20920.62024</v>
      </c>
      <c r="J232" s="1" t="str">
        <f t="shared" si="79"/>
        <v>*</v>
      </c>
      <c r="L232" s="25">
        <f t="shared" ref="L232:L298" si="80">IF(E232&lt;300,G232,0)</f>
        <v>0</v>
      </c>
      <c r="M232" s="60">
        <f t="shared" si="71"/>
        <v>0</v>
      </c>
      <c r="N232" s="60">
        <f t="shared" si="73"/>
        <v>0</v>
      </c>
      <c r="O232" s="60">
        <f t="shared" si="74"/>
        <v>0</v>
      </c>
    </row>
    <row r="233" spans="1:15" x14ac:dyDescent="0.2">
      <c r="A233" s="21"/>
      <c r="B233" s="28">
        <f>'Expense Input'!B33</f>
        <v>100</v>
      </c>
      <c r="C233" s="28">
        <f>'Expense Input'!C33</f>
        <v>4000</v>
      </c>
      <c r="D233" s="28">
        <f>'Expense Input'!D33</f>
        <v>7300</v>
      </c>
      <c r="E233" s="28">
        <f>'Expense Input'!E33</f>
        <v>640</v>
      </c>
      <c r="F233" s="28" t="str">
        <f>'Expense Input'!F33</f>
        <v>School Admin Furniture &amp; Equipment</v>
      </c>
      <c r="G233" s="60">
        <f>'Expense Input'!J33</f>
        <v>2113.8951240000006</v>
      </c>
      <c r="H233" s="60">
        <f t="shared" si="77"/>
        <v>2113.8951240000006</v>
      </c>
      <c r="I233" s="60">
        <f t="shared" si="78"/>
        <v>2113.8951240000006</v>
      </c>
      <c r="J233" s="1" t="str">
        <f t="shared" si="79"/>
        <v>*</v>
      </c>
      <c r="L233" s="25">
        <f t="shared" si="80"/>
        <v>0</v>
      </c>
      <c r="M233" s="60">
        <f t="shared" si="71"/>
        <v>0</v>
      </c>
      <c r="N233" s="60">
        <f t="shared" si="73"/>
        <v>0</v>
      </c>
      <c r="O233" s="60">
        <f t="shared" si="74"/>
        <v>0</v>
      </c>
    </row>
    <row r="234" spans="1:15" x14ac:dyDescent="0.2">
      <c r="A234" s="21"/>
      <c r="B234" s="28">
        <f>'Expense Input'!B34</f>
        <v>100</v>
      </c>
      <c r="C234" s="28">
        <f>'Expense Input'!C34</f>
        <v>4000</v>
      </c>
      <c r="D234" s="28">
        <f>'Expense Input'!D34</f>
        <v>7300</v>
      </c>
      <c r="E234" s="28">
        <f>'Expense Input'!E34</f>
        <v>644</v>
      </c>
      <c r="F234" s="28" t="str">
        <f>'Expense Input'!F34</f>
        <v>School Admin Computer Hardware</v>
      </c>
      <c r="G234" s="60">
        <f>'Expense Input'!J34</f>
        <v>12000</v>
      </c>
      <c r="H234" s="60">
        <f t="shared" si="77"/>
        <v>12000</v>
      </c>
      <c r="I234" s="60">
        <f t="shared" si="78"/>
        <v>12000</v>
      </c>
      <c r="J234" s="1" t="str">
        <f t="shared" si="79"/>
        <v>*</v>
      </c>
      <c r="L234" s="25">
        <f t="shared" si="80"/>
        <v>0</v>
      </c>
      <c r="M234" s="60">
        <f t="shared" si="71"/>
        <v>0</v>
      </c>
      <c r="N234" s="60">
        <f t="shared" si="73"/>
        <v>0</v>
      </c>
      <c r="O234" s="60">
        <f t="shared" si="74"/>
        <v>0</v>
      </c>
    </row>
    <row r="235" spans="1:15" x14ac:dyDescent="0.2">
      <c r="A235" s="21"/>
      <c r="B235" s="28">
        <f>'Expense Input'!B35</f>
        <v>100</v>
      </c>
      <c r="C235" s="28">
        <f>'Expense Input'!C35</f>
        <v>4000</v>
      </c>
      <c r="D235" s="28">
        <f>'Expense Input'!D35</f>
        <v>7300</v>
      </c>
      <c r="E235" s="28">
        <f>'Expense Input'!E35</f>
        <v>730</v>
      </c>
      <c r="F235" s="28" t="str">
        <f>'Expense Input'!F35</f>
        <v>Dues and Fees</v>
      </c>
      <c r="G235" s="60">
        <f>'Expense Input'!J35</f>
        <v>5689.5191999999997</v>
      </c>
      <c r="H235" s="60">
        <f t="shared" si="77"/>
        <v>5689.5191999999997</v>
      </c>
      <c r="I235" s="60">
        <f t="shared" si="78"/>
        <v>5689.5191999999997</v>
      </c>
      <c r="J235" s="1" t="str">
        <f t="shared" si="79"/>
        <v>*</v>
      </c>
      <c r="L235" s="25">
        <f>IF(E235&lt;300,G235,0)</f>
        <v>0</v>
      </c>
      <c r="M235" s="60">
        <f>IF(B235=490,G235,0)</f>
        <v>0</v>
      </c>
      <c r="N235" s="60">
        <f>IF(A235=432,F235,0)</f>
        <v>0</v>
      </c>
      <c r="O235" s="60">
        <f>IF(B235=432,G235,0)</f>
        <v>0</v>
      </c>
    </row>
    <row r="236" spans="1:15" x14ac:dyDescent="0.2">
      <c r="A236" s="21"/>
      <c r="B236" s="28"/>
      <c r="C236" s="28"/>
      <c r="D236" s="28"/>
      <c r="E236" s="28"/>
      <c r="F236" s="28"/>
      <c r="G236" s="60"/>
      <c r="H236" s="29"/>
      <c r="I236" s="29"/>
      <c r="J236" s="1" t="str">
        <f>IF(J237="*","*","")</f>
        <v>*</v>
      </c>
      <c r="L236" s="25">
        <f t="shared" si="80"/>
        <v>0</v>
      </c>
      <c r="M236" s="60">
        <f t="shared" si="71"/>
        <v>0</v>
      </c>
      <c r="N236" s="60">
        <f>IF(A236=432,F236,0)</f>
        <v>0</v>
      </c>
      <c r="O236" s="60">
        <f>IF(B236=432,G236,0)</f>
        <v>0</v>
      </c>
    </row>
    <row r="237" spans="1:15" x14ac:dyDescent="0.2">
      <c r="A237" s="21"/>
      <c r="F237" s="18" t="s">
        <v>39</v>
      </c>
      <c r="G237" s="26">
        <f>SUM(G217:G236)</f>
        <v>403348.85312399996</v>
      </c>
      <c r="H237" s="26">
        <f>SUM(H217:H236)</f>
        <v>403348.85312399996</v>
      </c>
      <c r="I237" s="26">
        <f>SUM(I217:I236)</f>
        <v>403348.85312399996</v>
      </c>
      <c r="J237" s="1" t="str">
        <f>IF(G237&gt;0.49,"*","")</f>
        <v>*</v>
      </c>
      <c r="L237" s="26">
        <f>SUM(L217:L236)</f>
        <v>338586.91599999997</v>
      </c>
      <c r="M237" s="26">
        <f>SUM(M217:M236)</f>
        <v>0</v>
      </c>
      <c r="N237" s="26">
        <f>SUM(N217:N236)</f>
        <v>0</v>
      </c>
      <c r="O237" s="26">
        <f>SUM(O217:O236)</f>
        <v>0</v>
      </c>
    </row>
    <row r="238" spans="1:15" x14ac:dyDescent="0.2">
      <c r="A238" s="21"/>
      <c r="B238" s="1"/>
      <c r="C238" s="1"/>
      <c r="D238" s="1"/>
      <c r="E238" s="1"/>
      <c r="F238" s="4"/>
      <c r="J238" s="1" t="str">
        <f>IF(J237="*","*","")</f>
        <v>*</v>
      </c>
      <c r="L238" s="25">
        <f t="shared" si="80"/>
        <v>0</v>
      </c>
      <c r="M238" s="60">
        <f>IF(B238=490,G238,0)</f>
        <v>0</v>
      </c>
      <c r="N238" s="60">
        <f>IF(A238=432,F238,0)</f>
        <v>0</v>
      </c>
      <c r="O238" s="60">
        <f>IF(B238=432,G238,0)</f>
        <v>0</v>
      </c>
    </row>
    <row r="239" spans="1:15" x14ac:dyDescent="0.2">
      <c r="A239" s="21"/>
      <c r="B239" s="28">
        <f>'Expense Input'!B36</f>
        <v>100</v>
      </c>
      <c r="C239" s="28">
        <f>'Expense Input'!C36</f>
        <v>4000</v>
      </c>
      <c r="D239" s="28">
        <f>'Expense Input'!D36</f>
        <v>7400</v>
      </c>
      <c r="E239" s="28">
        <f>'Expense Input'!E36</f>
        <v>360</v>
      </c>
      <c r="F239" s="28" t="str">
        <f>'Expense Input'!F36</f>
        <v>Facility Lease</v>
      </c>
      <c r="G239" s="60">
        <f>'Expense Input'!J36</f>
        <v>323386.54559999995</v>
      </c>
      <c r="H239" s="60">
        <f>+G239</f>
        <v>323386.54559999995</v>
      </c>
      <c r="I239" s="60">
        <f>+G239</f>
        <v>323386.54559999995</v>
      </c>
      <c r="J239" s="1" t="str">
        <f>IF(G239&gt;0.49,"*","")</f>
        <v>*</v>
      </c>
      <c r="L239" s="25">
        <f t="shared" si="80"/>
        <v>0</v>
      </c>
      <c r="M239" s="60">
        <f>IF(B239=490,G239,0)</f>
        <v>0</v>
      </c>
      <c r="N239" s="60">
        <f>IF(B239=432,G239,0)</f>
        <v>0</v>
      </c>
      <c r="O239" s="60">
        <f>IF(B239=410,G239,0)</f>
        <v>0</v>
      </c>
    </row>
    <row r="240" spans="1:15" hidden="1" x14ac:dyDescent="0.2">
      <c r="A240" s="21"/>
      <c r="B240" s="28"/>
      <c r="C240" s="28"/>
      <c r="D240" s="28"/>
      <c r="E240" s="28"/>
      <c r="F240" s="28"/>
      <c r="G240" s="60"/>
      <c r="H240" s="60"/>
      <c r="I240" s="60"/>
      <c r="L240" s="25">
        <f t="shared" si="80"/>
        <v>0</v>
      </c>
      <c r="M240" s="60">
        <f>IF(B240=490,G240,0)</f>
        <v>0</v>
      </c>
      <c r="N240" s="60">
        <f>IF(B240=432,G240,0)</f>
        <v>0</v>
      </c>
      <c r="O240" s="60">
        <f>IF(B240=410,G240,0)</f>
        <v>0</v>
      </c>
    </row>
    <row r="241" spans="1:15" x14ac:dyDescent="0.2">
      <c r="A241" s="21"/>
      <c r="B241" s="1"/>
      <c r="C241" s="1"/>
      <c r="D241" s="1"/>
      <c r="E241" s="1"/>
      <c r="G241" s="29"/>
      <c r="H241" s="29"/>
      <c r="I241" s="29"/>
      <c r="J241" s="1" t="str">
        <f>IF(J242="*","*","")</f>
        <v>*</v>
      </c>
      <c r="L241" s="25">
        <f t="shared" si="80"/>
        <v>0</v>
      </c>
      <c r="M241" s="60">
        <f>IF(B241=490,G241,0)</f>
        <v>0</v>
      </c>
      <c r="N241" s="60">
        <f>IF(A241=432,F241,0)</f>
        <v>0</v>
      </c>
      <c r="O241" s="60">
        <f>IF(B241=432,G241,0)</f>
        <v>0</v>
      </c>
    </row>
    <row r="242" spans="1:15" x14ac:dyDescent="0.2">
      <c r="A242" s="21"/>
      <c r="B242" s="1"/>
      <c r="C242" s="1"/>
      <c r="D242" s="1"/>
      <c r="E242" s="1"/>
      <c r="F242" s="18" t="s">
        <v>50</v>
      </c>
      <c r="G242" s="26">
        <f>SUM(G239:G241)</f>
        <v>323386.54559999995</v>
      </c>
      <c r="H242" s="26">
        <f>SUM(H239:H241)</f>
        <v>323386.54559999995</v>
      </c>
      <c r="I242" s="26">
        <f>SUM(I239:I241)</f>
        <v>323386.54559999995</v>
      </c>
      <c r="J242" s="1" t="str">
        <f>IF(G242&gt;0.49,"*","")</f>
        <v>*</v>
      </c>
      <c r="L242" s="26">
        <f>SUM(L238:L241)</f>
        <v>0</v>
      </c>
      <c r="M242" s="26">
        <f>SUM(M239:M241)</f>
        <v>0</v>
      </c>
      <c r="N242" s="26">
        <f>SUM(N239:N241)</f>
        <v>0</v>
      </c>
      <c r="O242" s="26">
        <f>SUM(O239:O241)</f>
        <v>0</v>
      </c>
    </row>
    <row r="243" spans="1:15" x14ac:dyDescent="0.2">
      <c r="A243" s="21"/>
      <c r="B243" s="1"/>
      <c r="C243" s="1"/>
      <c r="D243" s="1"/>
      <c r="E243" s="1"/>
      <c r="F243" s="18"/>
      <c r="G243" s="27"/>
      <c r="H243" s="27"/>
      <c r="I243" s="27"/>
      <c r="J243" s="1" t="str">
        <f>IF(J242="*","*","")</f>
        <v>*</v>
      </c>
      <c r="L243" s="25">
        <f t="shared" si="80"/>
        <v>0</v>
      </c>
      <c r="M243" s="60">
        <f>IF(B243=490,G243,0)</f>
        <v>0</v>
      </c>
      <c r="N243" s="60">
        <f>IF(A243=432,F243,0)</f>
        <v>0</v>
      </c>
      <c r="O243" s="60">
        <f>IF(B243=432,G243,0)</f>
        <v>0</v>
      </c>
    </row>
    <row r="244" spans="1:15" s="89" customFormat="1" x14ac:dyDescent="0.2">
      <c r="A244" s="88"/>
      <c r="B244" s="48">
        <f>'Expense Input'!B37</f>
        <v>100</v>
      </c>
      <c r="C244" s="48">
        <f>'Expense Input'!C37</f>
        <v>4000</v>
      </c>
      <c r="D244" s="48">
        <f>'Expense Input'!D37</f>
        <v>7500</v>
      </c>
      <c r="E244" s="48">
        <f>'Expense Input'!E37</f>
        <v>310</v>
      </c>
      <c r="F244" s="48" t="str">
        <f>'Expense Input'!F37</f>
        <v>Contract Controller Service</v>
      </c>
      <c r="G244" s="87">
        <f>'Expense Input'!J37</f>
        <v>64028.939111772939</v>
      </c>
      <c r="H244" s="87">
        <f>+(H13-H201)*0.03</f>
        <v>70935.850911002082</v>
      </c>
      <c r="I244" s="87">
        <f>+(I13-I201)*0.03</f>
        <v>3546.7925455501045</v>
      </c>
      <c r="J244" s="89" t="str">
        <f>IF(G244&gt;0.49,"*","")</f>
        <v>*</v>
      </c>
      <c r="L244" s="24">
        <f t="shared" si="80"/>
        <v>0</v>
      </c>
      <c r="M244" s="87">
        <f>IF(B244=490,G244,0)</f>
        <v>0</v>
      </c>
      <c r="N244" s="87">
        <f>IF(B244=432,G244,0)</f>
        <v>0</v>
      </c>
      <c r="O244" s="87">
        <f>IF(B244=410,G244,0)</f>
        <v>0</v>
      </c>
    </row>
    <row r="245" spans="1:15" x14ac:dyDescent="0.2">
      <c r="A245" s="21"/>
      <c r="B245" s="28">
        <f>'Expense Input'!B38</f>
        <v>100</v>
      </c>
      <c r="C245" s="28">
        <f>'Expense Input'!C38</f>
        <v>4000</v>
      </c>
      <c r="D245" s="28">
        <f>'Expense Input'!D38</f>
        <v>7500</v>
      </c>
      <c r="E245" s="28">
        <f>'Expense Input'!E38</f>
        <v>311</v>
      </c>
      <c r="F245" s="28" t="str">
        <f>'Expense Input'!F38</f>
        <v>Payroll Service</v>
      </c>
      <c r="G245" s="60">
        <f>'Expense Input'!J38</f>
        <v>3856.3999999999996</v>
      </c>
      <c r="H245" s="60">
        <f>+G245</f>
        <v>3856.3999999999996</v>
      </c>
      <c r="I245" s="60">
        <f>+G245</f>
        <v>3856.3999999999996</v>
      </c>
      <c r="J245" s="1" t="str">
        <f>IF(G245&gt;0.49,"*","")</f>
        <v>*</v>
      </c>
      <c r="L245" s="25">
        <f t="shared" si="80"/>
        <v>0</v>
      </c>
      <c r="M245" s="60">
        <f>IF(B245=490,G245,0)</f>
        <v>0</v>
      </c>
      <c r="N245" s="60">
        <f>IF(B245=432,G245,0)</f>
        <v>0</v>
      </c>
      <c r="O245" s="60">
        <f>IF(B245=410,G245,0)</f>
        <v>0</v>
      </c>
    </row>
    <row r="246" spans="1:15" hidden="1" x14ac:dyDescent="0.2">
      <c r="A246" s="21"/>
      <c r="B246" s="28"/>
      <c r="C246" s="28"/>
      <c r="D246" s="28"/>
      <c r="E246" s="28"/>
      <c r="F246" s="28"/>
      <c r="G246" s="60"/>
      <c r="H246" s="60">
        <f>IF(B246=100,G246,0)</f>
        <v>0</v>
      </c>
      <c r="I246" s="60">
        <f>IF(B246=490,G246,0)</f>
        <v>0</v>
      </c>
      <c r="J246" s="1" t="str">
        <f>IF(G246&gt;0.49,"*","")</f>
        <v/>
      </c>
      <c r="L246" s="25">
        <f t="shared" si="80"/>
        <v>0</v>
      </c>
      <c r="M246" s="60">
        <f>IF(B246=490,G246,0)</f>
        <v>0</v>
      </c>
      <c r="N246" s="60">
        <f>IF(B246=432,G246,0)</f>
        <v>0</v>
      </c>
      <c r="O246" s="60">
        <f>IF(B246=410,G246,0)</f>
        <v>0</v>
      </c>
    </row>
    <row r="247" spans="1:15" x14ac:dyDescent="0.2">
      <c r="A247" s="21"/>
      <c r="B247" s="1"/>
      <c r="C247" s="1"/>
      <c r="D247" s="1"/>
      <c r="E247" s="1"/>
      <c r="G247" s="29"/>
      <c r="H247" s="29"/>
      <c r="I247" s="29"/>
      <c r="J247" s="1" t="str">
        <f>IF(J248="*","*","")</f>
        <v>*</v>
      </c>
      <c r="L247" s="25">
        <f t="shared" si="80"/>
        <v>0</v>
      </c>
      <c r="M247" s="60">
        <f>IF(B247=490,G247,0)</f>
        <v>0</v>
      </c>
      <c r="N247" s="60">
        <f>IF(A247=432,F247,0)</f>
        <v>0</v>
      </c>
      <c r="O247" s="60">
        <f>IF(B247=432,G247,0)</f>
        <v>0</v>
      </c>
    </row>
    <row r="248" spans="1:15" x14ac:dyDescent="0.2">
      <c r="A248" s="21"/>
      <c r="F248" s="18" t="s">
        <v>40</v>
      </c>
      <c r="G248" s="26">
        <f>SUM(G244:G247)</f>
        <v>67885.339111772933</v>
      </c>
      <c r="H248" s="26">
        <f>SUM(H244:H247)</f>
        <v>74792.250911002076</v>
      </c>
      <c r="I248" s="26">
        <f>SUM(I244:I247)</f>
        <v>7403.1925455501041</v>
      </c>
      <c r="J248" s="1" t="str">
        <f>IF(G248&gt;0.49,"*","")</f>
        <v>*</v>
      </c>
      <c r="L248" s="26">
        <f>SUM(L243:L247)</f>
        <v>0</v>
      </c>
      <c r="M248" s="26">
        <f>SUM(M244:M247)</f>
        <v>0</v>
      </c>
      <c r="N248" s="26">
        <f>SUM(N244:N247)</f>
        <v>0</v>
      </c>
      <c r="O248" s="26">
        <f>SUM(O244:O247)</f>
        <v>0</v>
      </c>
    </row>
    <row r="249" spans="1:15" x14ac:dyDescent="0.2">
      <c r="A249" s="21"/>
      <c r="F249" s="18"/>
      <c r="J249" s="1" t="str">
        <f>IF(J248="*","*","")</f>
        <v>*</v>
      </c>
      <c r="L249" s="25">
        <f t="shared" si="80"/>
        <v>0</v>
      </c>
      <c r="M249" s="60">
        <f t="shared" ref="M249:M264" si="81">IF(B249=490,G249,0)</f>
        <v>0</v>
      </c>
      <c r="N249" s="60">
        <f>IF(A249=432,F249,0)</f>
        <v>0</v>
      </c>
      <c r="O249" s="60">
        <f>IF(B249=432,G249,0)</f>
        <v>0</v>
      </c>
    </row>
    <row r="250" spans="1:15" hidden="1" x14ac:dyDescent="0.2">
      <c r="A250" s="21"/>
      <c r="B250" s="28">
        <v>410</v>
      </c>
      <c r="C250" s="28">
        <v>4000</v>
      </c>
      <c r="D250" s="28">
        <v>7600</v>
      </c>
      <c r="E250" s="28">
        <v>150</v>
      </c>
      <c r="F250" s="28" t="s">
        <v>73</v>
      </c>
      <c r="G250" s="60">
        <v>0</v>
      </c>
      <c r="H250" s="60">
        <f t="shared" ref="H250:H255" si="82">+G250</f>
        <v>0</v>
      </c>
      <c r="I250" s="60">
        <f t="shared" ref="I250:I255" si="83">+G250</f>
        <v>0</v>
      </c>
      <c r="J250" s="1" t="str">
        <f t="shared" ref="J250:J263" si="84">IF(G250&gt;0.49,"*","")</f>
        <v/>
      </c>
      <c r="L250" s="25">
        <f t="shared" si="80"/>
        <v>0</v>
      </c>
      <c r="M250" s="60">
        <f t="shared" si="81"/>
        <v>0</v>
      </c>
      <c r="N250" s="60">
        <f t="shared" ref="N250:N263" si="85">IF(B250=432,G250,0)</f>
        <v>0</v>
      </c>
      <c r="O250" s="60">
        <f t="shared" ref="O250:O263" si="86">IF(B250=410,G250,0)</f>
        <v>0</v>
      </c>
    </row>
    <row r="251" spans="1:15" hidden="1" x14ac:dyDescent="0.2">
      <c r="A251" s="21"/>
      <c r="B251" s="28">
        <v>410</v>
      </c>
      <c r="C251" s="28">
        <v>4000</v>
      </c>
      <c r="D251" s="28">
        <v>7600</v>
      </c>
      <c r="E251" s="28">
        <v>210</v>
      </c>
      <c r="F251" s="28" t="s">
        <v>52</v>
      </c>
      <c r="G251" s="60">
        <v>0</v>
      </c>
      <c r="H251" s="60">
        <f t="shared" si="82"/>
        <v>0</v>
      </c>
      <c r="I251" s="60">
        <f t="shared" si="83"/>
        <v>0</v>
      </c>
      <c r="J251" s="1" t="str">
        <f t="shared" si="84"/>
        <v/>
      </c>
      <c r="L251" s="25">
        <f t="shared" si="80"/>
        <v>0</v>
      </c>
      <c r="M251" s="60">
        <f t="shared" si="81"/>
        <v>0</v>
      </c>
      <c r="N251" s="60">
        <f t="shared" si="85"/>
        <v>0</v>
      </c>
      <c r="O251" s="60">
        <f t="shared" si="86"/>
        <v>0</v>
      </c>
    </row>
    <row r="252" spans="1:15" hidden="1" x14ac:dyDescent="0.2">
      <c r="A252" s="21"/>
      <c r="B252" s="28">
        <v>410</v>
      </c>
      <c r="C252" s="28">
        <v>4000</v>
      </c>
      <c r="D252" s="28">
        <v>7600</v>
      </c>
      <c r="E252" s="28">
        <v>220</v>
      </c>
      <c r="F252" s="28" t="s">
        <v>53</v>
      </c>
      <c r="G252" s="60">
        <v>0</v>
      </c>
      <c r="H252" s="60">
        <f t="shared" si="82"/>
        <v>0</v>
      </c>
      <c r="I252" s="60">
        <f t="shared" si="83"/>
        <v>0</v>
      </c>
      <c r="J252" s="1" t="str">
        <f t="shared" si="84"/>
        <v/>
      </c>
      <c r="L252" s="25">
        <f t="shared" si="80"/>
        <v>0</v>
      </c>
      <c r="M252" s="60">
        <f t="shared" si="81"/>
        <v>0</v>
      </c>
      <c r="N252" s="60">
        <f t="shared" si="85"/>
        <v>0</v>
      </c>
      <c r="O252" s="60">
        <f t="shared" si="86"/>
        <v>0</v>
      </c>
    </row>
    <row r="253" spans="1:15" hidden="1" x14ac:dyDescent="0.2">
      <c r="A253" s="21"/>
      <c r="B253" s="28">
        <v>410</v>
      </c>
      <c r="C253" s="28">
        <v>4000</v>
      </c>
      <c r="D253" s="28">
        <v>7600</v>
      </c>
      <c r="E253" s="28">
        <v>230</v>
      </c>
      <c r="F253" s="28" t="s">
        <v>54</v>
      </c>
      <c r="G253" s="60">
        <v>0</v>
      </c>
      <c r="H253" s="60">
        <f t="shared" si="82"/>
        <v>0</v>
      </c>
      <c r="I253" s="60">
        <f t="shared" si="83"/>
        <v>0</v>
      </c>
      <c r="J253" s="1" t="str">
        <f t="shared" si="84"/>
        <v/>
      </c>
      <c r="L253" s="25">
        <f t="shared" si="80"/>
        <v>0</v>
      </c>
      <c r="M253" s="60">
        <f t="shared" si="81"/>
        <v>0</v>
      </c>
      <c r="N253" s="60">
        <f t="shared" si="85"/>
        <v>0</v>
      </c>
      <c r="O253" s="60">
        <f t="shared" si="86"/>
        <v>0</v>
      </c>
    </row>
    <row r="254" spans="1:15" hidden="1" x14ac:dyDescent="0.2">
      <c r="A254" s="21"/>
      <c r="B254" s="28">
        <v>410</v>
      </c>
      <c r="C254" s="28">
        <v>4000</v>
      </c>
      <c r="D254" s="28">
        <v>7600</v>
      </c>
      <c r="E254" s="28">
        <v>240</v>
      </c>
      <c r="F254" s="28" t="s">
        <v>55</v>
      </c>
      <c r="G254" s="60">
        <v>0</v>
      </c>
      <c r="H254" s="60">
        <f t="shared" si="82"/>
        <v>0</v>
      </c>
      <c r="I254" s="60">
        <f t="shared" si="83"/>
        <v>0</v>
      </c>
      <c r="J254" s="1" t="str">
        <f t="shared" si="84"/>
        <v/>
      </c>
      <c r="L254" s="25">
        <f t="shared" si="80"/>
        <v>0</v>
      </c>
      <c r="M254" s="60">
        <f t="shared" si="81"/>
        <v>0</v>
      </c>
      <c r="N254" s="60">
        <f t="shared" si="85"/>
        <v>0</v>
      </c>
      <c r="O254" s="60">
        <f t="shared" si="86"/>
        <v>0</v>
      </c>
    </row>
    <row r="255" spans="1:15" hidden="1" x14ac:dyDescent="0.2">
      <c r="A255" s="21"/>
      <c r="B255" s="28">
        <v>410</v>
      </c>
      <c r="C255" s="28">
        <v>4000</v>
      </c>
      <c r="D255" s="28">
        <v>7600</v>
      </c>
      <c r="E255" s="28">
        <v>250</v>
      </c>
      <c r="F255" s="28" t="s">
        <v>56</v>
      </c>
      <c r="G255" s="60">
        <v>0</v>
      </c>
      <c r="H255" s="60">
        <f t="shared" si="82"/>
        <v>0</v>
      </c>
      <c r="I255" s="60">
        <f t="shared" si="83"/>
        <v>0</v>
      </c>
      <c r="J255" s="1" t="str">
        <f t="shared" si="84"/>
        <v/>
      </c>
      <c r="L255" s="25">
        <f t="shared" si="80"/>
        <v>0</v>
      </c>
      <c r="M255" s="60">
        <f t="shared" si="81"/>
        <v>0</v>
      </c>
      <c r="N255" s="60">
        <f t="shared" si="85"/>
        <v>0</v>
      </c>
      <c r="O255" s="60">
        <f t="shared" si="86"/>
        <v>0</v>
      </c>
    </row>
    <row r="256" spans="1:15" hidden="1" x14ac:dyDescent="0.2">
      <c r="A256" s="21"/>
      <c r="B256" s="28"/>
      <c r="C256" s="28"/>
      <c r="D256" s="28"/>
      <c r="E256" s="28"/>
      <c r="F256" s="28"/>
      <c r="G256" s="60"/>
      <c r="H256" s="60"/>
      <c r="I256" s="60"/>
      <c r="J256" s="1" t="str">
        <f t="shared" si="84"/>
        <v/>
      </c>
      <c r="L256" s="25">
        <f t="shared" si="80"/>
        <v>0</v>
      </c>
      <c r="M256" s="60">
        <f t="shared" si="81"/>
        <v>0</v>
      </c>
      <c r="N256" s="60">
        <f t="shared" si="85"/>
        <v>0</v>
      </c>
      <c r="O256" s="60">
        <f t="shared" si="86"/>
        <v>0</v>
      </c>
    </row>
    <row r="257" spans="1:15" hidden="1" x14ac:dyDescent="0.2">
      <c r="A257" s="21"/>
      <c r="B257" s="28"/>
      <c r="C257" s="28"/>
      <c r="D257" s="28"/>
      <c r="E257" s="28"/>
      <c r="F257" s="28"/>
      <c r="G257" s="60"/>
      <c r="H257" s="60"/>
      <c r="I257" s="60"/>
      <c r="J257" s="1" t="str">
        <f t="shared" si="84"/>
        <v/>
      </c>
      <c r="L257" s="25">
        <f t="shared" si="80"/>
        <v>0</v>
      </c>
      <c r="M257" s="60">
        <f t="shared" si="81"/>
        <v>0</v>
      </c>
      <c r="N257" s="60">
        <f t="shared" si="85"/>
        <v>0</v>
      </c>
      <c r="O257" s="60">
        <f t="shared" si="86"/>
        <v>0</v>
      </c>
    </row>
    <row r="258" spans="1:15" x14ac:dyDescent="0.2">
      <c r="A258" s="21"/>
      <c r="B258" s="48">
        <f>'Expense Input'!B39</f>
        <v>100</v>
      </c>
      <c r="C258" s="48">
        <f>'Expense Input'!C39</f>
        <v>4000</v>
      </c>
      <c r="D258" s="48">
        <f>'Expense Input'!D39</f>
        <v>7600</v>
      </c>
      <c r="E258" s="48">
        <f>'Expense Input'!E39</f>
        <v>310</v>
      </c>
      <c r="F258" s="48" t="str">
        <f>'Expense Input'!F39</f>
        <v>Contract Food</v>
      </c>
      <c r="G258" s="87">
        <f>'Expense Input'!J39</f>
        <v>3802.0614876364002</v>
      </c>
      <c r="H258" s="60">
        <f>+G258/$G$7*$H$7</f>
        <v>1750.949369306237</v>
      </c>
      <c r="I258" s="60">
        <f>+G258/$G$7*$I$7</f>
        <v>1851.0036189808791</v>
      </c>
      <c r="J258" s="89" t="str">
        <f t="shared" si="84"/>
        <v>*</v>
      </c>
      <c r="L258" s="25">
        <f t="shared" si="80"/>
        <v>0</v>
      </c>
      <c r="M258" s="60">
        <f t="shared" si="81"/>
        <v>0</v>
      </c>
      <c r="N258" s="60">
        <f t="shared" si="85"/>
        <v>0</v>
      </c>
      <c r="O258" s="60">
        <f t="shared" si="86"/>
        <v>0</v>
      </c>
    </row>
    <row r="259" spans="1:15" hidden="1" x14ac:dyDescent="0.2">
      <c r="A259" s="21"/>
      <c r="B259" s="28"/>
      <c r="C259" s="28"/>
      <c r="D259" s="28"/>
      <c r="E259" s="28"/>
      <c r="F259" s="28"/>
      <c r="G259" s="60"/>
      <c r="H259" s="60"/>
      <c r="I259" s="60"/>
      <c r="J259" s="1" t="str">
        <f t="shared" si="84"/>
        <v/>
      </c>
      <c r="L259" s="25">
        <f t="shared" si="80"/>
        <v>0</v>
      </c>
      <c r="M259" s="60">
        <f t="shared" si="81"/>
        <v>0</v>
      </c>
      <c r="N259" s="60">
        <f t="shared" si="85"/>
        <v>0</v>
      </c>
      <c r="O259" s="60">
        <f t="shared" si="86"/>
        <v>0</v>
      </c>
    </row>
    <row r="260" spans="1:15" hidden="1" x14ac:dyDescent="0.2">
      <c r="A260" s="21"/>
      <c r="B260" s="28"/>
      <c r="C260" s="28"/>
      <c r="D260" s="28"/>
      <c r="E260" s="28"/>
      <c r="F260" s="28"/>
      <c r="G260" s="60"/>
      <c r="H260" s="60"/>
      <c r="I260" s="60"/>
      <c r="J260" s="1" t="str">
        <f t="shared" si="84"/>
        <v/>
      </c>
      <c r="L260" s="25">
        <f t="shared" si="80"/>
        <v>0</v>
      </c>
      <c r="M260" s="60">
        <f t="shared" si="81"/>
        <v>0</v>
      </c>
      <c r="N260" s="60">
        <f t="shared" si="85"/>
        <v>0</v>
      </c>
      <c r="O260" s="60">
        <f t="shared" si="86"/>
        <v>0</v>
      </c>
    </row>
    <row r="261" spans="1:15" hidden="1" x14ac:dyDescent="0.2">
      <c r="A261" s="21"/>
      <c r="B261" s="28"/>
      <c r="C261" s="28"/>
      <c r="D261" s="28"/>
      <c r="E261" s="28"/>
      <c r="F261" s="28"/>
      <c r="G261" s="60"/>
      <c r="H261" s="60"/>
      <c r="I261" s="60"/>
      <c r="J261" s="1" t="str">
        <f t="shared" si="84"/>
        <v/>
      </c>
      <c r="L261" s="25">
        <f t="shared" si="80"/>
        <v>0</v>
      </c>
      <c r="M261" s="60">
        <f t="shared" si="81"/>
        <v>0</v>
      </c>
      <c r="N261" s="60">
        <f t="shared" si="85"/>
        <v>0</v>
      </c>
      <c r="O261" s="60">
        <f t="shared" si="86"/>
        <v>0</v>
      </c>
    </row>
    <row r="262" spans="1:15" hidden="1" x14ac:dyDescent="0.2">
      <c r="A262" s="21"/>
      <c r="B262" s="28"/>
      <c r="C262" s="28"/>
      <c r="D262" s="28"/>
      <c r="E262" s="28"/>
      <c r="F262" s="28"/>
      <c r="G262" s="60"/>
      <c r="H262" s="60"/>
      <c r="I262" s="60"/>
      <c r="J262" s="1" t="str">
        <f t="shared" si="84"/>
        <v/>
      </c>
      <c r="L262" s="25">
        <f t="shared" si="80"/>
        <v>0</v>
      </c>
      <c r="M262" s="60">
        <f t="shared" si="81"/>
        <v>0</v>
      </c>
      <c r="N262" s="60">
        <f t="shared" si="85"/>
        <v>0</v>
      </c>
      <c r="O262" s="60">
        <f t="shared" si="86"/>
        <v>0</v>
      </c>
    </row>
    <row r="263" spans="1:15" hidden="1" x14ac:dyDescent="0.2">
      <c r="A263" s="21"/>
      <c r="B263" s="28"/>
      <c r="C263" s="28"/>
      <c r="D263" s="28"/>
      <c r="E263" s="28"/>
      <c r="F263" s="28"/>
      <c r="G263" s="60"/>
      <c r="H263" s="60"/>
      <c r="I263" s="60"/>
      <c r="J263" s="1" t="str">
        <f t="shared" si="84"/>
        <v/>
      </c>
      <c r="L263" s="25">
        <f t="shared" si="80"/>
        <v>0</v>
      </c>
      <c r="M263" s="60">
        <f t="shared" si="81"/>
        <v>0</v>
      </c>
      <c r="N263" s="60">
        <f t="shared" si="85"/>
        <v>0</v>
      </c>
      <c r="O263" s="60">
        <f t="shared" si="86"/>
        <v>0</v>
      </c>
    </row>
    <row r="264" spans="1:15" x14ac:dyDescent="0.2">
      <c r="A264" s="21"/>
      <c r="B264" s="28"/>
      <c r="C264" s="28"/>
      <c r="D264" s="28"/>
      <c r="E264" s="28"/>
      <c r="F264" s="28"/>
      <c r="G264" s="29"/>
      <c r="H264" s="29"/>
      <c r="I264" s="29"/>
      <c r="J264" s="1" t="str">
        <f>IF(J265="*","*","")</f>
        <v>*</v>
      </c>
      <c r="L264" s="25">
        <f t="shared" si="80"/>
        <v>0</v>
      </c>
      <c r="M264" s="60">
        <f t="shared" si="81"/>
        <v>0</v>
      </c>
      <c r="N264" s="60">
        <f>IF(A264=432,F264,0)</f>
        <v>0</v>
      </c>
      <c r="O264" s="60">
        <f>IF(B264=432,G264,0)</f>
        <v>0</v>
      </c>
    </row>
    <row r="265" spans="1:15" x14ac:dyDescent="0.2">
      <c r="A265" s="21"/>
      <c r="F265" s="18" t="s">
        <v>41</v>
      </c>
      <c r="G265" s="26">
        <f>SUM(G250:G264)</f>
        <v>3802.0614876364002</v>
      </c>
      <c r="H265" s="26">
        <f>SUM(H250:H264)</f>
        <v>1750.949369306237</v>
      </c>
      <c r="I265" s="26">
        <f>SUM(I250:I264)</f>
        <v>1851.0036189808791</v>
      </c>
      <c r="J265" s="1" t="str">
        <f>IF(G265&gt;0.49,"*","")</f>
        <v>*</v>
      </c>
      <c r="L265" s="26">
        <f>SUM(L249:L264)</f>
        <v>0</v>
      </c>
      <c r="M265" s="26">
        <f>SUM(M250:M264)</f>
        <v>0</v>
      </c>
      <c r="N265" s="26">
        <f>SUM(N250:N264)</f>
        <v>0</v>
      </c>
      <c r="O265" s="26">
        <f>SUM(O250:O264)</f>
        <v>0</v>
      </c>
    </row>
    <row r="266" spans="1:15" x14ac:dyDescent="0.2">
      <c r="A266" s="21"/>
      <c r="B266" s="28"/>
      <c r="C266" s="28"/>
      <c r="D266" s="28"/>
      <c r="E266" s="28"/>
      <c r="F266" s="28"/>
      <c r="G266" s="29"/>
      <c r="H266" s="29"/>
      <c r="I266" s="29"/>
      <c r="J266" s="1" t="str">
        <f>IF(J265="*","*","")</f>
        <v>*</v>
      </c>
      <c r="L266" s="25">
        <f t="shared" si="80"/>
        <v>0</v>
      </c>
      <c r="M266" s="60">
        <f t="shared" ref="M266:M280" si="87">IF(B266=490,G266,0)</f>
        <v>0</v>
      </c>
      <c r="N266" s="60">
        <f>IF(A266=432,F266,0)</f>
        <v>0</v>
      </c>
      <c r="O266" s="60">
        <f>IF(B266=432,G266,0)</f>
        <v>0</v>
      </c>
    </row>
    <row r="267" spans="1:15" hidden="1" x14ac:dyDescent="0.2">
      <c r="A267" s="21"/>
      <c r="B267" s="28"/>
      <c r="C267" s="28"/>
      <c r="D267" s="28"/>
      <c r="E267" s="28"/>
      <c r="F267" s="28"/>
      <c r="G267" s="60"/>
      <c r="H267" s="60">
        <f>+G267</f>
        <v>0</v>
      </c>
      <c r="I267" s="60">
        <f>+G267</f>
        <v>0</v>
      </c>
      <c r="J267" s="1" t="str">
        <f>IF(G267&gt;0.49,"*","")</f>
        <v/>
      </c>
      <c r="L267" s="25">
        <f>IF(E267&lt;300,G267,0)</f>
        <v>0</v>
      </c>
      <c r="M267" s="60">
        <f t="shared" si="87"/>
        <v>0</v>
      </c>
      <c r="N267" s="60">
        <f>IF(B267=432,G267,0)</f>
        <v>0</v>
      </c>
      <c r="O267" s="60">
        <f>IF(B267=410,G267,0)</f>
        <v>0</v>
      </c>
    </row>
    <row r="268" spans="1:15" hidden="1" x14ac:dyDescent="0.2">
      <c r="A268" s="21"/>
      <c r="B268" s="28"/>
      <c r="C268" s="28"/>
      <c r="D268" s="28"/>
      <c r="E268" s="28"/>
      <c r="F268" s="28"/>
      <c r="G268" s="60"/>
      <c r="H268" s="60">
        <f>+G268</f>
        <v>0</v>
      </c>
      <c r="I268" s="60">
        <f>+G268</f>
        <v>0</v>
      </c>
      <c r="J268" s="1" t="str">
        <f>IF(G268&gt;0.49,"*","")</f>
        <v/>
      </c>
      <c r="L268" s="25">
        <f>IF(E268&lt;300,G268,0)</f>
        <v>0</v>
      </c>
      <c r="M268" s="60">
        <f t="shared" si="87"/>
        <v>0</v>
      </c>
      <c r="N268" s="60">
        <f>IF(B268=432,G268,0)</f>
        <v>0</v>
      </c>
      <c r="O268" s="60">
        <f>IF(B268=410,G268,0)</f>
        <v>0</v>
      </c>
    </row>
    <row r="269" spans="1:15" hidden="1" x14ac:dyDescent="0.2">
      <c r="A269" s="21"/>
      <c r="B269" s="28"/>
      <c r="C269" s="28"/>
      <c r="D269" s="28"/>
      <c r="E269" s="28"/>
      <c r="F269" s="28"/>
      <c r="G269" s="60"/>
      <c r="H269" s="29"/>
      <c r="I269" s="29"/>
      <c r="J269" s="1" t="str">
        <f>IF(J270="*","*","")</f>
        <v/>
      </c>
      <c r="L269" s="25">
        <f>IF(E269&lt;300,G269,0)</f>
        <v>0</v>
      </c>
      <c r="M269" s="60">
        <f t="shared" si="87"/>
        <v>0</v>
      </c>
      <c r="N269" s="60">
        <f>IF(A269=432,F269,0)</f>
        <v>0</v>
      </c>
      <c r="O269" s="60">
        <f>IF(B269=432,G269,0)</f>
        <v>0</v>
      </c>
    </row>
    <row r="270" spans="1:15" hidden="1" x14ac:dyDescent="0.2">
      <c r="A270" s="21"/>
      <c r="F270" s="18" t="s">
        <v>168</v>
      </c>
      <c r="G270" s="26">
        <f>SUM(G267:G269)</f>
        <v>0</v>
      </c>
      <c r="H270" s="26">
        <f>SUM(H257:H269)</f>
        <v>3501.8987386124741</v>
      </c>
      <c r="I270" s="26">
        <f>SUM(I257:I269)</f>
        <v>3702.0072379617582</v>
      </c>
      <c r="J270" s="1" t="str">
        <f>IF(G270&gt;0.49,"*","")</f>
        <v/>
      </c>
      <c r="L270" s="26">
        <f>SUM(L256:L269)</f>
        <v>0</v>
      </c>
      <c r="M270" s="26">
        <f>SUM(M257:M269)</f>
        <v>0</v>
      </c>
      <c r="N270" s="26">
        <f>SUM(N257:N269)</f>
        <v>0</v>
      </c>
      <c r="O270" s="26">
        <f>SUM(O257:O269)</f>
        <v>0</v>
      </c>
    </row>
    <row r="271" spans="1:15" hidden="1" x14ac:dyDescent="0.2">
      <c r="A271" s="21"/>
      <c r="B271" s="28"/>
      <c r="C271" s="28"/>
      <c r="D271" s="28"/>
      <c r="E271" s="28"/>
      <c r="F271" s="28"/>
      <c r="G271" s="29"/>
      <c r="H271" s="29"/>
      <c r="I271" s="29"/>
      <c r="J271" s="1" t="str">
        <f>IF(J270="*","*","")</f>
        <v/>
      </c>
      <c r="L271" s="25">
        <f>IF(E271&lt;300,G271,0)</f>
        <v>0</v>
      </c>
      <c r="M271" s="60">
        <f>IF(B271=490,G271,0)</f>
        <v>0</v>
      </c>
      <c r="N271" s="60">
        <f>IF(A271=432,F271,0)</f>
        <v>0</v>
      </c>
      <c r="O271" s="60">
        <f>IF(B271=432,G271,0)</f>
        <v>0</v>
      </c>
    </row>
    <row r="272" spans="1:15" s="89" customFormat="1" x14ac:dyDescent="0.2">
      <c r="A272" s="86"/>
      <c r="B272" s="48">
        <f>'Expense Input'!B40</f>
        <v>100</v>
      </c>
      <c r="C272" s="48">
        <f>'Expense Input'!C40</f>
        <v>4000</v>
      </c>
      <c r="D272" s="48">
        <f>'Expense Input'!D40</f>
        <v>7800</v>
      </c>
      <c r="E272" s="48">
        <f>'Expense Input'!E40</f>
        <v>310</v>
      </c>
      <c r="F272" s="48" t="str">
        <f>'Expense Input'!F40</f>
        <v>Contracted Transportation Services</v>
      </c>
      <c r="G272" s="87">
        <f>'Expense Input'!J40</f>
        <v>38856.30610338039</v>
      </c>
      <c r="H272" s="60">
        <f>+G272/$G$7*$H$7</f>
        <v>17894.351494977811</v>
      </c>
      <c r="I272" s="60">
        <f>+G272/$G$7*$I$7</f>
        <v>18916.885866119399</v>
      </c>
      <c r="J272" s="89" t="str">
        <f>IF(G272&gt;0.49,"*","")</f>
        <v>*</v>
      </c>
      <c r="L272" s="24">
        <f t="shared" si="80"/>
        <v>0</v>
      </c>
      <c r="M272" s="87">
        <f t="shared" si="87"/>
        <v>0</v>
      </c>
      <c r="N272" s="87">
        <f t="shared" ref="N272:N279" si="88">IF(B272=432,G272,0)</f>
        <v>0</v>
      </c>
      <c r="O272" s="87">
        <f t="shared" ref="O272:O279" si="89">IF(B272=410,G272,0)</f>
        <v>0</v>
      </c>
    </row>
    <row r="273" spans="1:15" hidden="1" x14ac:dyDescent="0.2">
      <c r="A273" s="21"/>
      <c r="B273" s="48"/>
      <c r="C273" s="48"/>
      <c r="D273" s="48"/>
      <c r="E273" s="48"/>
      <c r="F273" s="48"/>
      <c r="G273" s="87"/>
      <c r="H273" s="60"/>
      <c r="I273" s="60"/>
      <c r="J273" s="89"/>
      <c r="L273" s="25">
        <f t="shared" si="80"/>
        <v>0</v>
      </c>
      <c r="M273" s="60">
        <f t="shared" si="87"/>
        <v>0</v>
      </c>
      <c r="N273" s="60">
        <f t="shared" si="88"/>
        <v>0</v>
      </c>
      <c r="O273" s="60">
        <f t="shared" si="89"/>
        <v>0</v>
      </c>
    </row>
    <row r="274" spans="1:15" hidden="1" x14ac:dyDescent="0.2">
      <c r="A274" s="21"/>
      <c r="B274" s="28"/>
      <c r="C274" s="28"/>
      <c r="D274" s="28"/>
      <c r="E274" s="28"/>
      <c r="F274" s="28"/>
      <c r="G274" s="60"/>
      <c r="H274" s="87"/>
      <c r="I274" s="87"/>
      <c r="J274" s="1" t="str">
        <f>IF(G274&gt;0.49,"*","")</f>
        <v/>
      </c>
      <c r="L274" s="25">
        <f t="shared" si="80"/>
        <v>0</v>
      </c>
      <c r="M274" s="60">
        <f t="shared" si="87"/>
        <v>0</v>
      </c>
      <c r="N274" s="60">
        <f t="shared" si="88"/>
        <v>0</v>
      </c>
      <c r="O274" s="60">
        <f t="shared" si="89"/>
        <v>0</v>
      </c>
    </row>
    <row r="275" spans="1:15" hidden="1" x14ac:dyDescent="0.2">
      <c r="A275" s="21"/>
      <c r="B275" s="28"/>
      <c r="C275" s="28"/>
      <c r="D275" s="28"/>
      <c r="E275" s="28"/>
      <c r="F275" s="28"/>
      <c r="G275" s="60"/>
      <c r="H275" s="87"/>
      <c r="I275" s="87"/>
      <c r="J275" s="1" t="str">
        <f>IF(G275&gt;0.49,"*","")</f>
        <v/>
      </c>
      <c r="L275" s="25">
        <f t="shared" si="80"/>
        <v>0</v>
      </c>
      <c r="M275" s="60">
        <f t="shared" si="87"/>
        <v>0</v>
      </c>
      <c r="N275" s="60">
        <f t="shared" si="88"/>
        <v>0</v>
      </c>
      <c r="O275" s="60">
        <f t="shared" si="89"/>
        <v>0</v>
      </c>
    </row>
    <row r="276" spans="1:15" hidden="1" x14ac:dyDescent="0.2">
      <c r="A276" s="21"/>
      <c r="B276" s="28"/>
      <c r="C276" s="28"/>
      <c r="D276" s="28"/>
      <c r="E276" s="28"/>
      <c r="F276" s="28"/>
      <c r="G276" s="60"/>
      <c r="H276" s="87"/>
      <c r="I276" s="87"/>
      <c r="J276" s="1" t="str">
        <f>IF(G276&gt;0.49,"*","")</f>
        <v/>
      </c>
      <c r="L276" s="25">
        <f t="shared" si="80"/>
        <v>0</v>
      </c>
      <c r="M276" s="60">
        <f t="shared" si="87"/>
        <v>0</v>
      </c>
      <c r="N276" s="60">
        <f t="shared" si="88"/>
        <v>0</v>
      </c>
      <c r="O276" s="60">
        <f t="shared" si="89"/>
        <v>0</v>
      </c>
    </row>
    <row r="277" spans="1:15" hidden="1" x14ac:dyDescent="0.2">
      <c r="A277" s="21"/>
      <c r="B277" s="28"/>
      <c r="C277" s="28"/>
      <c r="D277" s="28"/>
      <c r="E277" s="28"/>
      <c r="F277" s="28"/>
      <c r="G277" s="60"/>
      <c r="H277" s="87"/>
      <c r="I277" s="87"/>
      <c r="J277" s="1" t="str">
        <f t="shared" ref="J277:J325" si="90">IF(G277&gt;0.49,"*","")</f>
        <v/>
      </c>
      <c r="L277" s="25">
        <f t="shared" si="80"/>
        <v>0</v>
      </c>
      <c r="M277" s="60">
        <f t="shared" si="87"/>
        <v>0</v>
      </c>
      <c r="N277" s="60">
        <f t="shared" si="88"/>
        <v>0</v>
      </c>
      <c r="O277" s="60">
        <f t="shared" si="89"/>
        <v>0</v>
      </c>
    </row>
    <row r="278" spans="1:15" hidden="1" x14ac:dyDescent="0.2">
      <c r="A278" s="21"/>
      <c r="B278" s="28"/>
      <c r="C278" s="28"/>
      <c r="D278" s="28"/>
      <c r="E278" s="28"/>
      <c r="F278" s="28"/>
      <c r="G278" s="60"/>
      <c r="H278" s="87"/>
      <c r="I278" s="87"/>
      <c r="J278" s="1" t="str">
        <f t="shared" si="90"/>
        <v/>
      </c>
      <c r="L278" s="25">
        <f t="shared" si="80"/>
        <v>0</v>
      </c>
      <c r="M278" s="60">
        <f t="shared" si="87"/>
        <v>0</v>
      </c>
      <c r="N278" s="60">
        <f t="shared" si="88"/>
        <v>0</v>
      </c>
      <c r="O278" s="60">
        <f t="shared" si="89"/>
        <v>0</v>
      </c>
    </row>
    <row r="279" spans="1:15" hidden="1" x14ac:dyDescent="0.2">
      <c r="A279" s="21"/>
      <c r="B279" s="28"/>
      <c r="C279" s="28"/>
      <c r="D279" s="28"/>
      <c r="E279" s="28"/>
      <c r="F279" s="28"/>
      <c r="G279" s="60"/>
      <c r="H279" s="87"/>
      <c r="I279" s="87"/>
      <c r="J279" s="1" t="str">
        <f t="shared" si="90"/>
        <v/>
      </c>
      <c r="L279" s="25">
        <f t="shared" si="80"/>
        <v>0</v>
      </c>
      <c r="M279" s="60">
        <f t="shared" si="87"/>
        <v>0</v>
      </c>
      <c r="N279" s="60">
        <f t="shared" si="88"/>
        <v>0</v>
      </c>
      <c r="O279" s="60">
        <f t="shared" si="89"/>
        <v>0</v>
      </c>
    </row>
    <row r="280" spans="1:15" x14ac:dyDescent="0.2">
      <c r="A280" s="21"/>
      <c r="B280" s="28"/>
      <c r="C280" s="28"/>
      <c r="D280" s="28"/>
      <c r="E280" s="28"/>
      <c r="F280" s="28"/>
      <c r="G280" s="29"/>
      <c r="H280" s="29"/>
      <c r="I280" s="29"/>
      <c r="J280" s="1" t="str">
        <f>IF(J281="*","*","")</f>
        <v>*</v>
      </c>
      <c r="L280" s="25">
        <f t="shared" si="80"/>
        <v>0</v>
      </c>
      <c r="M280" s="60">
        <f t="shared" si="87"/>
        <v>0</v>
      </c>
      <c r="N280" s="60">
        <f>IF(A280=432,F280,0)</f>
        <v>0</v>
      </c>
      <c r="O280" s="60">
        <f>IF(B280=432,G280,0)</f>
        <v>0</v>
      </c>
    </row>
    <row r="281" spans="1:15" x14ac:dyDescent="0.2">
      <c r="A281" s="21"/>
      <c r="F281" s="18" t="s">
        <v>42</v>
      </c>
      <c r="G281" s="26">
        <f>SUM(G272:G280)</f>
        <v>38856.30610338039</v>
      </c>
      <c r="H281" s="26">
        <f>SUM(H272:H280)</f>
        <v>17894.351494977811</v>
      </c>
      <c r="I281" s="26">
        <f>SUM(I272:I280)</f>
        <v>18916.885866119399</v>
      </c>
      <c r="J281" s="1" t="str">
        <f>IF(G281&gt;0.49,"*","")</f>
        <v>*</v>
      </c>
      <c r="L281" s="26">
        <f>SUM(L266:L280)</f>
        <v>0</v>
      </c>
      <c r="M281" s="26">
        <f>SUM(M272:M280)</f>
        <v>0</v>
      </c>
      <c r="N281" s="26">
        <f>SUM(N272:N280)</f>
        <v>0</v>
      </c>
      <c r="O281" s="26">
        <f>SUM(O272:O280)</f>
        <v>0</v>
      </c>
    </row>
    <row r="282" spans="1:15" x14ac:dyDescent="0.2">
      <c r="A282" s="21"/>
      <c r="B282" s="1"/>
      <c r="C282" s="1"/>
      <c r="D282" s="1"/>
      <c r="E282" s="1"/>
      <c r="F282" s="14"/>
      <c r="J282" s="1" t="str">
        <f>IF(J281="*","*","")</f>
        <v>*</v>
      </c>
      <c r="L282" s="25">
        <f t="shared" si="80"/>
        <v>0</v>
      </c>
      <c r="M282" s="60">
        <f t="shared" ref="M282:M301" si="91">IF(B282=490,G282,0)</f>
        <v>0</v>
      </c>
      <c r="N282" s="60">
        <f>IF(A282=432,F282,0)</f>
        <v>0</v>
      </c>
      <c r="O282" s="60">
        <f>IF(B282=432,G282,0)</f>
        <v>0</v>
      </c>
    </row>
    <row r="283" spans="1:15" hidden="1" x14ac:dyDescent="0.2">
      <c r="A283" s="21"/>
      <c r="B283" s="28">
        <v>100</v>
      </c>
      <c r="C283" s="28">
        <v>4000</v>
      </c>
      <c r="D283" s="28">
        <v>7900</v>
      </c>
      <c r="E283" s="28">
        <v>160</v>
      </c>
      <c r="F283" s="28" t="s">
        <v>72</v>
      </c>
      <c r="G283" s="60">
        <f>+'Payroll Input'!E117</f>
        <v>0</v>
      </c>
      <c r="H283" s="60">
        <f t="shared" ref="H283:H291" si="92">+G283</f>
        <v>0</v>
      </c>
      <c r="I283" s="60">
        <f>+G283</f>
        <v>0</v>
      </c>
      <c r="J283" s="1" t="str">
        <f t="shared" si="90"/>
        <v/>
      </c>
      <c r="L283" s="25">
        <f t="shared" si="80"/>
        <v>0</v>
      </c>
      <c r="M283" s="60">
        <f t="shared" si="91"/>
        <v>0</v>
      </c>
      <c r="N283" s="60">
        <f t="shared" ref="N283:N300" si="93">IF(B283=432,G283,0)</f>
        <v>0</v>
      </c>
      <c r="O283" s="60">
        <f t="shared" ref="O283:O300" si="94">IF(B283=410,G283,0)</f>
        <v>0</v>
      </c>
    </row>
    <row r="284" spans="1:15" hidden="1" x14ac:dyDescent="0.2">
      <c r="A284" s="21"/>
      <c r="B284" s="28">
        <v>100</v>
      </c>
      <c r="C284" s="28">
        <v>4000</v>
      </c>
      <c r="D284" s="28">
        <v>7900</v>
      </c>
      <c r="E284" s="28">
        <v>165</v>
      </c>
      <c r="F284" s="28" t="s">
        <v>65</v>
      </c>
      <c r="G284" s="60">
        <f>+'Payroll Input'!E123</f>
        <v>0</v>
      </c>
      <c r="H284" s="60">
        <f t="shared" si="92"/>
        <v>0</v>
      </c>
      <c r="I284" s="60">
        <f t="shared" ref="I284:I289" si="95">+G284</f>
        <v>0</v>
      </c>
      <c r="J284" s="1" t="str">
        <f t="shared" si="90"/>
        <v/>
      </c>
      <c r="L284" s="25">
        <f t="shared" si="80"/>
        <v>0</v>
      </c>
      <c r="M284" s="60">
        <f t="shared" si="91"/>
        <v>0</v>
      </c>
      <c r="N284" s="60">
        <f t="shared" si="93"/>
        <v>0</v>
      </c>
      <c r="O284" s="60">
        <f t="shared" si="94"/>
        <v>0</v>
      </c>
    </row>
    <row r="285" spans="1:15" hidden="1" x14ac:dyDescent="0.2">
      <c r="A285" s="21"/>
      <c r="B285" s="28">
        <v>100</v>
      </c>
      <c r="C285" s="28">
        <v>4000</v>
      </c>
      <c r="D285" s="28">
        <v>7900</v>
      </c>
      <c r="E285" s="28">
        <v>210</v>
      </c>
      <c r="F285" s="28" t="s">
        <v>52</v>
      </c>
      <c r="G285" s="60">
        <f>+'Payroll Input'!F117+'Payroll Input'!F123</f>
        <v>0</v>
      </c>
      <c r="H285" s="60">
        <f t="shared" si="92"/>
        <v>0</v>
      </c>
      <c r="I285" s="60">
        <f t="shared" si="95"/>
        <v>0</v>
      </c>
      <c r="J285" s="1" t="str">
        <f t="shared" si="90"/>
        <v/>
      </c>
      <c r="L285" s="25">
        <f t="shared" si="80"/>
        <v>0</v>
      </c>
      <c r="M285" s="60">
        <f t="shared" si="91"/>
        <v>0</v>
      </c>
      <c r="N285" s="60">
        <f t="shared" si="93"/>
        <v>0</v>
      </c>
      <c r="O285" s="60">
        <f t="shared" si="94"/>
        <v>0</v>
      </c>
    </row>
    <row r="286" spans="1:15" hidden="1" x14ac:dyDescent="0.2">
      <c r="A286" s="21"/>
      <c r="B286" s="28">
        <v>100</v>
      </c>
      <c r="C286" s="28">
        <v>4000</v>
      </c>
      <c r="D286" s="28">
        <v>7900</v>
      </c>
      <c r="E286" s="28">
        <v>220</v>
      </c>
      <c r="F286" s="28" t="s">
        <v>53</v>
      </c>
      <c r="G286" s="60">
        <f>+'Payroll Input'!H117+'Payroll Input'!H123</f>
        <v>0</v>
      </c>
      <c r="H286" s="60">
        <f t="shared" si="92"/>
        <v>0</v>
      </c>
      <c r="I286" s="60">
        <f t="shared" si="95"/>
        <v>0</v>
      </c>
      <c r="J286" s="1" t="str">
        <f t="shared" si="90"/>
        <v/>
      </c>
      <c r="L286" s="25">
        <f t="shared" si="80"/>
        <v>0</v>
      </c>
      <c r="M286" s="60">
        <f t="shared" si="91"/>
        <v>0</v>
      </c>
      <c r="N286" s="60">
        <f t="shared" si="93"/>
        <v>0</v>
      </c>
      <c r="O286" s="60">
        <f t="shared" si="94"/>
        <v>0</v>
      </c>
    </row>
    <row r="287" spans="1:15" hidden="1" x14ac:dyDescent="0.2">
      <c r="A287" s="21"/>
      <c r="B287" s="28">
        <v>100</v>
      </c>
      <c r="C287" s="28">
        <v>4000</v>
      </c>
      <c r="D287" s="28">
        <v>7900</v>
      </c>
      <c r="E287" s="28">
        <v>230</v>
      </c>
      <c r="F287" s="28" t="s">
        <v>54</v>
      </c>
      <c r="G287" s="60">
        <f>+'Payroll Input'!I117+'Payroll Input'!I123</f>
        <v>0</v>
      </c>
      <c r="H287" s="60">
        <f t="shared" si="92"/>
        <v>0</v>
      </c>
      <c r="I287" s="60">
        <f t="shared" si="95"/>
        <v>0</v>
      </c>
      <c r="J287" s="1" t="str">
        <f t="shared" si="90"/>
        <v/>
      </c>
      <c r="L287" s="25">
        <f t="shared" si="80"/>
        <v>0</v>
      </c>
      <c r="M287" s="60">
        <f t="shared" si="91"/>
        <v>0</v>
      </c>
      <c r="N287" s="60">
        <f t="shared" si="93"/>
        <v>0</v>
      </c>
      <c r="O287" s="60">
        <f t="shared" si="94"/>
        <v>0</v>
      </c>
    </row>
    <row r="288" spans="1:15" hidden="1" x14ac:dyDescent="0.2">
      <c r="A288" s="21"/>
      <c r="B288" s="28">
        <v>100</v>
      </c>
      <c r="C288" s="28">
        <v>4000</v>
      </c>
      <c r="D288" s="28">
        <v>7900</v>
      </c>
      <c r="E288" s="28">
        <v>240</v>
      </c>
      <c r="F288" s="28" t="s">
        <v>55</v>
      </c>
      <c r="G288" s="60">
        <f>+'Payroll Input'!K117+'Payroll Input'!K123</f>
        <v>0</v>
      </c>
      <c r="H288" s="60">
        <f t="shared" si="92"/>
        <v>0</v>
      </c>
      <c r="I288" s="60">
        <f t="shared" si="95"/>
        <v>0</v>
      </c>
      <c r="J288" s="1" t="str">
        <f t="shared" si="90"/>
        <v/>
      </c>
      <c r="L288" s="25">
        <f t="shared" si="80"/>
        <v>0</v>
      </c>
      <c r="M288" s="60">
        <f t="shared" si="91"/>
        <v>0</v>
      </c>
      <c r="N288" s="60">
        <f t="shared" si="93"/>
        <v>0</v>
      </c>
      <c r="O288" s="60">
        <f t="shared" si="94"/>
        <v>0</v>
      </c>
    </row>
    <row r="289" spans="1:15" hidden="1" x14ac:dyDescent="0.2">
      <c r="A289" s="21"/>
      <c r="B289" s="28">
        <v>100</v>
      </c>
      <c r="C289" s="28">
        <v>4000</v>
      </c>
      <c r="D289" s="28">
        <v>7900</v>
      </c>
      <c r="E289" s="28">
        <v>250</v>
      </c>
      <c r="F289" s="28" t="s">
        <v>56</v>
      </c>
      <c r="G289" s="60">
        <f>+'Payroll Input'!L117+'Payroll Input'!L123</f>
        <v>0</v>
      </c>
      <c r="H289" s="60">
        <f t="shared" si="92"/>
        <v>0</v>
      </c>
      <c r="I289" s="60">
        <f t="shared" si="95"/>
        <v>0</v>
      </c>
      <c r="J289" s="1" t="str">
        <f t="shared" si="90"/>
        <v/>
      </c>
      <c r="L289" s="25">
        <f t="shared" si="80"/>
        <v>0</v>
      </c>
      <c r="M289" s="60">
        <f t="shared" si="91"/>
        <v>0</v>
      </c>
      <c r="N289" s="60">
        <f t="shared" si="93"/>
        <v>0</v>
      </c>
      <c r="O289" s="60">
        <f t="shared" si="94"/>
        <v>0</v>
      </c>
    </row>
    <row r="290" spans="1:15" customFormat="1" hidden="1" x14ac:dyDescent="0.2">
      <c r="J290" s="1" t="str">
        <f t="shared" si="90"/>
        <v/>
      </c>
      <c r="L290" s="25">
        <f>IF(E290&lt;300,G290,0)</f>
        <v>0</v>
      </c>
      <c r="M290" s="60">
        <f>IF(B290=490,G290,0)</f>
        <v>0</v>
      </c>
      <c r="N290" s="60">
        <f>IF(B290=432,G290,0)</f>
        <v>0</v>
      </c>
      <c r="O290" s="60">
        <f>IF(B290=410,G290,0)</f>
        <v>0</v>
      </c>
    </row>
    <row r="291" spans="1:15" x14ac:dyDescent="0.2">
      <c r="A291" s="21"/>
      <c r="B291" s="28">
        <f>'Expense Input'!B41</f>
        <v>100</v>
      </c>
      <c r="C291" s="28">
        <f>'Expense Input'!C41</f>
        <v>4000</v>
      </c>
      <c r="D291" s="28">
        <f>'Expense Input'!D41</f>
        <v>7900</v>
      </c>
      <c r="E291" s="28">
        <f>'Expense Input'!E41</f>
        <v>320</v>
      </c>
      <c r="F291" s="28" t="str">
        <f>'Expense Input'!F41</f>
        <v>Insurance - Building</v>
      </c>
      <c r="G291" s="60">
        <f>'Expense Input'!J41</f>
        <v>14738.67</v>
      </c>
      <c r="H291" s="60">
        <f t="shared" si="92"/>
        <v>14738.67</v>
      </c>
      <c r="I291" s="60">
        <f>+G291</f>
        <v>14738.67</v>
      </c>
      <c r="J291" s="1" t="str">
        <f t="shared" si="90"/>
        <v>*</v>
      </c>
      <c r="L291" s="25">
        <f t="shared" si="80"/>
        <v>0</v>
      </c>
      <c r="M291" s="60">
        <f t="shared" si="91"/>
        <v>0</v>
      </c>
      <c r="N291" s="60">
        <f t="shared" si="93"/>
        <v>0</v>
      </c>
      <c r="O291" s="60">
        <f t="shared" si="94"/>
        <v>0</v>
      </c>
    </row>
    <row r="292" spans="1:15" x14ac:dyDescent="0.2">
      <c r="A292" s="21"/>
      <c r="B292" s="28">
        <f>'Expense Input'!B42</f>
        <v>100</v>
      </c>
      <c r="C292" s="28">
        <f>'Expense Input'!C42</f>
        <v>4000</v>
      </c>
      <c r="D292" s="28">
        <f>'Expense Input'!D42</f>
        <v>7900</v>
      </c>
      <c r="E292" s="28">
        <f>'Expense Input'!E42</f>
        <v>351</v>
      </c>
      <c r="F292" s="28" t="str">
        <f>'Expense Input'!F42</f>
        <v>Contract Custodial Service</v>
      </c>
      <c r="G292" s="60">
        <f>'Expense Input'!J42</f>
        <v>26650.692599999998</v>
      </c>
      <c r="H292" s="60">
        <f t="shared" ref="H292:H298" si="96">+G292</f>
        <v>26650.692599999998</v>
      </c>
      <c r="I292" s="60">
        <f t="shared" ref="I292:I298" si="97">+G292</f>
        <v>26650.692599999998</v>
      </c>
      <c r="J292" s="1" t="str">
        <f t="shared" ref="J292:J298" si="98">IF(G292&gt;0.49,"*","")</f>
        <v>*</v>
      </c>
      <c r="L292" s="25">
        <f t="shared" si="80"/>
        <v>0</v>
      </c>
      <c r="M292" s="60">
        <f t="shared" si="91"/>
        <v>0</v>
      </c>
      <c r="N292" s="60">
        <f t="shared" si="93"/>
        <v>0</v>
      </c>
      <c r="O292" s="60">
        <f t="shared" si="94"/>
        <v>0</v>
      </c>
    </row>
    <row r="293" spans="1:15" x14ac:dyDescent="0.2">
      <c r="A293" s="21"/>
      <c r="B293" s="28">
        <f>'Expense Input'!B43</f>
        <v>100</v>
      </c>
      <c r="C293" s="28">
        <f>'Expense Input'!C43</f>
        <v>4000</v>
      </c>
      <c r="D293" s="28">
        <f>'Expense Input'!D43</f>
        <v>7900</v>
      </c>
      <c r="E293" s="28">
        <f>'Expense Input'!E43</f>
        <v>352</v>
      </c>
      <c r="F293" s="28" t="str">
        <f>'Expense Input'!F43</f>
        <v>Contract Security Service</v>
      </c>
      <c r="G293" s="60">
        <f>'Expense Input'!J43</f>
        <v>69620.385599999994</v>
      </c>
      <c r="H293" s="60">
        <f t="shared" si="96"/>
        <v>69620.385599999994</v>
      </c>
      <c r="I293" s="60">
        <f t="shared" si="97"/>
        <v>69620.385599999994</v>
      </c>
      <c r="J293" s="1" t="str">
        <f t="shared" si="98"/>
        <v>*</v>
      </c>
      <c r="L293" s="25">
        <f t="shared" si="80"/>
        <v>0</v>
      </c>
      <c r="M293" s="60">
        <f t="shared" si="91"/>
        <v>0</v>
      </c>
      <c r="N293" s="60">
        <f t="shared" si="93"/>
        <v>0</v>
      </c>
      <c r="O293" s="60">
        <f t="shared" si="94"/>
        <v>0</v>
      </c>
    </row>
    <row r="294" spans="1:15" x14ac:dyDescent="0.2">
      <c r="A294" s="21"/>
      <c r="B294" s="28">
        <f>'Expense Input'!B44</f>
        <v>100</v>
      </c>
      <c r="C294" s="28">
        <f>'Expense Input'!C44</f>
        <v>4000</v>
      </c>
      <c r="D294" s="28">
        <f>'Expense Input'!D44</f>
        <v>7900</v>
      </c>
      <c r="E294" s="28">
        <f>'Expense Input'!E44</f>
        <v>370</v>
      </c>
      <c r="F294" s="28" t="str">
        <f>'Expense Input'!F44</f>
        <v>Communications</v>
      </c>
      <c r="G294" s="60">
        <f>'Expense Input'!J44</f>
        <v>10526.75496</v>
      </c>
      <c r="H294" s="60">
        <f t="shared" si="96"/>
        <v>10526.75496</v>
      </c>
      <c r="I294" s="60">
        <f t="shared" si="97"/>
        <v>10526.75496</v>
      </c>
      <c r="J294" s="1" t="str">
        <f t="shared" si="98"/>
        <v>*</v>
      </c>
      <c r="L294" s="25">
        <f t="shared" si="80"/>
        <v>0</v>
      </c>
      <c r="M294" s="60">
        <f t="shared" si="91"/>
        <v>0</v>
      </c>
      <c r="N294" s="60">
        <f t="shared" si="93"/>
        <v>0</v>
      </c>
      <c r="O294" s="60">
        <f t="shared" si="94"/>
        <v>0</v>
      </c>
    </row>
    <row r="295" spans="1:15" x14ac:dyDescent="0.2">
      <c r="A295" s="21"/>
      <c r="B295" s="28">
        <f>'Expense Input'!B45</f>
        <v>100</v>
      </c>
      <c r="C295" s="28">
        <f>'Expense Input'!C45</f>
        <v>4000</v>
      </c>
      <c r="D295" s="28">
        <f>'Expense Input'!D45</f>
        <v>7900</v>
      </c>
      <c r="E295" s="28">
        <f>'Expense Input'!E45</f>
        <v>380</v>
      </c>
      <c r="F295" s="28" t="str">
        <f>'Expense Input'!F45</f>
        <v>Water Sewer Garbage Collection</v>
      </c>
      <c r="G295" s="60">
        <f>'Expense Input'!J45</f>
        <v>2689.8705600000003</v>
      </c>
      <c r="H295" s="60">
        <f t="shared" si="96"/>
        <v>2689.8705600000003</v>
      </c>
      <c r="I295" s="60">
        <f t="shared" si="97"/>
        <v>2689.8705600000003</v>
      </c>
      <c r="J295" s="1" t="str">
        <f t="shared" si="98"/>
        <v>*</v>
      </c>
      <c r="L295" s="25">
        <f t="shared" si="80"/>
        <v>0</v>
      </c>
      <c r="M295" s="60">
        <f t="shared" si="91"/>
        <v>0</v>
      </c>
      <c r="N295" s="60">
        <f t="shared" si="93"/>
        <v>0</v>
      </c>
      <c r="O295" s="60">
        <f t="shared" si="94"/>
        <v>0</v>
      </c>
    </row>
    <row r="296" spans="1:15" x14ac:dyDescent="0.2">
      <c r="A296" s="21"/>
      <c r="B296" s="28">
        <f>'Expense Input'!B46</f>
        <v>100</v>
      </c>
      <c r="C296" s="28">
        <f>'Expense Input'!C46</f>
        <v>4000</v>
      </c>
      <c r="D296" s="28">
        <f>'Expense Input'!D46</f>
        <v>7900</v>
      </c>
      <c r="E296" s="28">
        <f>'Expense Input'!E46</f>
        <v>390</v>
      </c>
      <c r="F296" s="28" t="str">
        <f>'Expense Input'!F46</f>
        <v>Other Contracted Bldg. Services</v>
      </c>
      <c r="G296" s="60">
        <f>'Expense Input'!J46</f>
        <v>3419.0236799999998</v>
      </c>
      <c r="H296" s="60">
        <f t="shared" si="96"/>
        <v>3419.0236799999998</v>
      </c>
      <c r="I296" s="60">
        <f t="shared" si="97"/>
        <v>3419.0236799999998</v>
      </c>
      <c r="J296" s="1" t="str">
        <f t="shared" si="98"/>
        <v>*</v>
      </c>
      <c r="L296" s="25">
        <f t="shared" si="80"/>
        <v>0</v>
      </c>
      <c r="M296" s="60">
        <f t="shared" si="91"/>
        <v>0</v>
      </c>
      <c r="N296" s="60">
        <f t="shared" si="93"/>
        <v>0</v>
      </c>
      <c r="O296" s="60">
        <f t="shared" si="94"/>
        <v>0</v>
      </c>
    </row>
    <row r="297" spans="1:15" x14ac:dyDescent="0.2">
      <c r="A297" s="21"/>
      <c r="B297" s="28">
        <f>'Expense Input'!B47</f>
        <v>100</v>
      </c>
      <c r="C297" s="28">
        <f>'Expense Input'!C47</f>
        <v>4000</v>
      </c>
      <c r="D297" s="28">
        <f>'Expense Input'!D47</f>
        <v>7900</v>
      </c>
      <c r="E297" s="28">
        <f>'Expense Input'!E47</f>
        <v>430</v>
      </c>
      <c r="F297" s="28" t="str">
        <f>'Expense Input'!F47</f>
        <v>Electricity</v>
      </c>
      <c r="G297" s="60">
        <f>'Expense Input'!J47</f>
        <v>27876.906000000003</v>
      </c>
      <c r="H297" s="60">
        <f t="shared" si="96"/>
        <v>27876.906000000003</v>
      </c>
      <c r="I297" s="60">
        <f t="shared" si="97"/>
        <v>27876.906000000003</v>
      </c>
      <c r="J297" s="1" t="str">
        <f t="shared" si="98"/>
        <v>*</v>
      </c>
      <c r="L297" s="25">
        <f t="shared" si="80"/>
        <v>0</v>
      </c>
      <c r="M297" s="60">
        <f t="shared" si="91"/>
        <v>0</v>
      </c>
      <c r="N297" s="60">
        <f t="shared" si="93"/>
        <v>0</v>
      </c>
      <c r="O297" s="60">
        <f t="shared" si="94"/>
        <v>0</v>
      </c>
    </row>
    <row r="298" spans="1:15" x14ac:dyDescent="0.2">
      <c r="A298" s="21"/>
      <c r="B298" s="28">
        <f>'Expense Input'!B48</f>
        <v>100</v>
      </c>
      <c r="C298" s="28">
        <f>'Expense Input'!C48</f>
        <v>4000</v>
      </c>
      <c r="D298" s="28">
        <f>'Expense Input'!D48</f>
        <v>7900</v>
      </c>
      <c r="E298" s="28">
        <f>'Expense Input'!E48</f>
        <v>510</v>
      </c>
      <c r="F298" s="28" t="str">
        <f>'Expense Input'!F48</f>
        <v>Custodial Supplies</v>
      </c>
      <c r="G298" s="60">
        <f>'Expense Input'!J48</f>
        <v>5353.6780799999997</v>
      </c>
      <c r="H298" s="60">
        <f t="shared" si="96"/>
        <v>5353.6780799999997</v>
      </c>
      <c r="I298" s="60">
        <f t="shared" si="97"/>
        <v>5353.6780799999997</v>
      </c>
      <c r="J298" s="1" t="str">
        <f t="shared" si="98"/>
        <v>*</v>
      </c>
      <c r="L298" s="25">
        <f t="shared" si="80"/>
        <v>0</v>
      </c>
      <c r="M298" s="60">
        <f t="shared" si="91"/>
        <v>0</v>
      </c>
      <c r="N298" s="60">
        <f t="shared" si="93"/>
        <v>0</v>
      </c>
      <c r="O298" s="60">
        <f t="shared" si="94"/>
        <v>0</v>
      </c>
    </row>
    <row r="299" spans="1:15" hidden="1" x14ac:dyDescent="0.2">
      <c r="A299" s="21"/>
      <c r="B299" s="28"/>
      <c r="C299" s="28"/>
      <c r="D299" s="28"/>
      <c r="E299" s="28"/>
      <c r="F299" s="28"/>
      <c r="G299" s="60"/>
      <c r="H299" s="60"/>
      <c r="I299" s="60"/>
      <c r="J299" s="1" t="str">
        <f t="shared" si="90"/>
        <v/>
      </c>
      <c r="L299" s="25">
        <f t="shared" ref="L299:L331" si="99">IF(E299&lt;300,G299,0)</f>
        <v>0</v>
      </c>
      <c r="M299" s="60">
        <f t="shared" si="91"/>
        <v>0</v>
      </c>
      <c r="N299" s="60">
        <f t="shared" si="93"/>
        <v>0</v>
      </c>
      <c r="O299" s="60">
        <f t="shared" si="94"/>
        <v>0</v>
      </c>
    </row>
    <row r="300" spans="1:15" hidden="1" x14ac:dyDescent="0.2">
      <c r="A300" s="21"/>
      <c r="B300" s="28"/>
      <c r="C300" s="28"/>
      <c r="D300" s="28"/>
      <c r="E300" s="28"/>
      <c r="F300" s="28"/>
      <c r="G300" s="60"/>
      <c r="H300" s="60"/>
      <c r="I300" s="60"/>
      <c r="J300" s="1" t="str">
        <f t="shared" si="90"/>
        <v/>
      </c>
      <c r="L300" s="25">
        <f t="shared" si="99"/>
        <v>0</v>
      </c>
      <c r="M300" s="60">
        <f t="shared" si="91"/>
        <v>0</v>
      </c>
      <c r="N300" s="60">
        <f t="shared" si="93"/>
        <v>0</v>
      </c>
      <c r="O300" s="60">
        <f t="shared" si="94"/>
        <v>0</v>
      </c>
    </row>
    <row r="301" spans="1:15" x14ac:dyDescent="0.2">
      <c r="A301" s="21"/>
      <c r="B301" s="28"/>
      <c r="C301" s="28"/>
      <c r="D301" s="28"/>
      <c r="E301" s="28"/>
      <c r="F301" s="28"/>
      <c r="G301" s="29"/>
      <c r="H301" s="29"/>
      <c r="I301" s="29"/>
      <c r="J301" s="1" t="str">
        <f>IF(J302="*","*","")</f>
        <v>*</v>
      </c>
      <c r="L301" s="25">
        <f t="shared" si="99"/>
        <v>0</v>
      </c>
      <c r="M301" s="60">
        <f t="shared" si="91"/>
        <v>0</v>
      </c>
      <c r="N301" s="60">
        <f>IF(A301=432,F301,0)</f>
        <v>0</v>
      </c>
      <c r="O301" s="60">
        <f>IF(B301=432,G301,0)</f>
        <v>0</v>
      </c>
    </row>
    <row r="302" spans="1:15" x14ac:dyDescent="0.2">
      <c r="A302" s="21"/>
      <c r="F302" s="18" t="s">
        <v>43</v>
      </c>
      <c r="G302" s="26">
        <f>SUM(G283:G301)</f>
        <v>160875.98148000002</v>
      </c>
      <c r="H302" s="26">
        <f>SUM(H283:H301)</f>
        <v>160875.98148000002</v>
      </c>
      <c r="I302" s="26">
        <f>SUM(I283:I301)</f>
        <v>160875.98148000002</v>
      </c>
      <c r="J302" s="1" t="str">
        <f>IF(G302&gt;0.49,"*","")</f>
        <v>*</v>
      </c>
      <c r="L302" s="26">
        <f>SUM(L282:L301)</f>
        <v>0</v>
      </c>
      <c r="M302" s="26">
        <f>SUM(M283:M301)</f>
        <v>0</v>
      </c>
      <c r="N302" s="26">
        <f>SUM(N283:N301)</f>
        <v>0</v>
      </c>
      <c r="O302" s="26">
        <f>SUM(O283:O301)</f>
        <v>0</v>
      </c>
    </row>
    <row r="303" spans="1:15" x14ac:dyDescent="0.2">
      <c r="A303" s="21"/>
      <c r="F303" s="18"/>
      <c r="G303" s="27"/>
      <c r="H303" s="27"/>
      <c r="I303" s="27"/>
      <c r="J303" s="1" t="str">
        <f>IF(J302="*","*","")</f>
        <v>*</v>
      </c>
      <c r="L303" s="25">
        <f t="shared" si="99"/>
        <v>0</v>
      </c>
      <c r="M303" s="60">
        <f>IF(B303=490,G303,0)</f>
        <v>0</v>
      </c>
      <c r="N303" s="60">
        <f>IF(A303=432,F303,0)</f>
        <v>0</v>
      </c>
      <c r="O303" s="60">
        <f>IF(B303=432,G303,0)</f>
        <v>0</v>
      </c>
    </row>
    <row r="304" spans="1:15" x14ac:dyDescent="0.2">
      <c r="A304" s="21"/>
      <c r="B304" s="28">
        <f>'Expense Input'!B49</f>
        <v>100</v>
      </c>
      <c r="C304" s="28">
        <f>'Expense Input'!C49</f>
        <v>4000</v>
      </c>
      <c r="D304" s="28">
        <f>'Expense Input'!D49</f>
        <v>8100</v>
      </c>
      <c r="E304" s="28">
        <f>'Expense Input'!E49</f>
        <v>350</v>
      </c>
      <c r="F304" s="28" t="str">
        <f>'Expense Input'!F49</f>
        <v>Repairs and Maintenance</v>
      </c>
      <c r="G304" s="60">
        <f>'Expense Input'!J49</f>
        <v>18500.417279999998</v>
      </c>
      <c r="H304" s="60">
        <f>+G304</f>
        <v>18500.417279999998</v>
      </c>
      <c r="I304" s="60">
        <f>+G304</f>
        <v>18500.417279999998</v>
      </c>
      <c r="J304" s="1" t="str">
        <f>IF(G304&gt;0.49,"*","")</f>
        <v>*</v>
      </c>
      <c r="L304" s="25">
        <f>IF(E304&lt;300,G304,0)</f>
        <v>0</v>
      </c>
      <c r="M304" s="60">
        <f>IF(B304=490,G304,0)</f>
        <v>0</v>
      </c>
      <c r="N304" s="60">
        <f>IF(B304=432,G304,0)</f>
        <v>0</v>
      </c>
      <c r="O304" s="60">
        <f>IF(B304=410,G304,0)</f>
        <v>0</v>
      </c>
    </row>
    <row r="305" spans="1:15" hidden="1" x14ac:dyDescent="0.2">
      <c r="A305" s="21"/>
      <c r="B305" s="28"/>
      <c r="C305" s="28"/>
      <c r="D305" s="28"/>
      <c r="E305" s="28"/>
      <c r="F305" s="28"/>
      <c r="G305" s="60"/>
      <c r="H305" s="60"/>
      <c r="I305" s="60"/>
      <c r="L305" s="25">
        <f t="shared" si="99"/>
        <v>0</v>
      </c>
      <c r="M305" s="60">
        <f>IF(B305=490,G305,0)</f>
        <v>0</v>
      </c>
      <c r="N305" s="60">
        <f>IF(B305=432,G305,0)</f>
        <v>0</v>
      </c>
      <c r="O305" s="60">
        <f>IF(B305=410,G305,0)</f>
        <v>0</v>
      </c>
    </row>
    <row r="306" spans="1:15" x14ac:dyDescent="0.2">
      <c r="A306" s="21"/>
      <c r="B306" s="28"/>
      <c r="C306" s="28"/>
      <c r="D306" s="28"/>
      <c r="E306" s="28"/>
      <c r="F306" s="28"/>
      <c r="G306" s="60"/>
      <c r="J306" s="1" t="str">
        <f>IF(J307="*","*","")</f>
        <v>*</v>
      </c>
      <c r="L306" s="25">
        <f t="shared" si="99"/>
        <v>0</v>
      </c>
      <c r="M306" s="60">
        <f>IF(B306=490,G306,0)</f>
        <v>0</v>
      </c>
      <c r="N306" s="60">
        <f>IF(A306=432,F306,0)</f>
        <v>0</v>
      </c>
      <c r="O306" s="60">
        <f>IF(B306=432,G306,0)</f>
        <v>0</v>
      </c>
    </row>
    <row r="307" spans="1:15" x14ac:dyDescent="0.2">
      <c r="A307" s="21"/>
      <c r="F307" s="18" t="s">
        <v>44</v>
      </c>
      <c r="G307" s="26">
        <f>SUM(G304:G306)</f>
        <v>18500.417279999998</v>
      </c>
      <c r="H307" s="26">
        <f>SUM(H304:H306)</f>
        <v>18500.417279999998</v>
      </c>
      <c r="I307" s="26">
        <f>SUM(I304:I306)</f>
        <v>18500.417279999998</v>
      </c>
      <c r="J307" s="1" t="str">
        <f>IF(G307&gt;0.49,"*","")</f>
        <v>*</v>
      </c>
      <c r="L307" s="26">
        <f>SUM(L303:L306)</f>
        <v>0</v>
      </c>
      <c r="M307" s="26">
        <f>SUM(M305:M306)</f>
        <v>0</v>
      </c>
      <c r="N307" s="26">
        <f>SUM(N305:N306)</f>
        <v>0</v>
      </c>
      <c r="O307" s="26">
        <f>SUM(O305:O306)</f>
        <v>0</v>
      </c>
    </row>
    <row r="308" spans="1:15" x14ac:dyDescent="0.2">
      <c r="A308" s="21"/>
      <c r="B308" s="28"/>
      <c r="C308" s="28"/>
      <c r="D308" s="28"/>
      <c r="E308" s="28"/>
      <c r="F308" s="28"/>
      <c r="G308" s="29"/>
      <c r="H308" s="29"/>
      <c r="I308" s="29"/>
      <c r="J308" s="1" t="str">
        <f>IF(J307="*","*","")</f>
        <v>*</v>
      </c>
      <c r="L308" s="25">
        <f t="shared" si="99"/>
        <v>0</v>
      </c>
      <c r="M308" s="60">
        <f t="shared" ref="M308:M326" si="100">IF(B308=490,G308,0)</f>
        <v>0</v>
      </c>
      <c r="N308" s="60">
        <f>IF(A308=432,F308,0)</f>
        <v>0</v>
      </c>
      <c r="O308" s="60">
        <f>IF(B308=432,G308,0)</f>
        <v>0</v>
      </c>
    </row>
    <row r="309" spans="1:15" hidden="1" x14ac:dyDescent="0.2">
      <c r="A309" s="21"/>
      <c r="B309" s="28">
        <v>891</v>
      </c>
      <c r="C309" s="28">
        <v>4000</v>
      </c>
      <c r="D309" s="28">
        <v>9100</v>
      </c>
      <c r="E309" s="28">
        <v>150</v>
      </c>
      <c r="F309" s="28" t="s">
        <v>75</v>
      </c>
      <c r="G309" s="29"/>
      <c r="H309" s="60"/>
      <c r="I309" s="60"/>
      <c r="J309" s="1" t="str">
        <f t="shared" si="90"/>
        <v/>
      </c>
      <c r="L309" s="25">
        <f t="shared" si="99"/>
        <v>0</v>
      </c>
      <c r="M309" s="60">
        <f t="shared" si="100"/>
        <v>0</v>
      </c>
      <c r="N309" s="60">
        <f t="shared" ref="N309:N325" si="101">IF(B309=432,G309,0)</f>
        <v>0</v>
      </c>
      <c r="O309" s="60">
        <f t="shared" ref="O309:O325" si="102">IF(B309=410,G309,0)</f>
        <v>0</v>
      </c>
    </row>
    <row r="310" spans="1:15" hidden="1" x14ac:dyDescent="0.2">
      <c r="A310" s="21"/>
      <c r="B310" s="28">
        <v>891</v>
      </c>
      <c r="C310" s="28">
        <v>4000</v>
      </c>
      <c r="D310" s="28">
        <v>9100</v>
      </c>
      <c r="E310" s="28">
        <v>210</v>
      </c>
      <c r="F310" s="28" t="s">
        <v>52</v>
      </c>
      <c r="G310" s="29"/>
      <c r="H310" s="60"/>
      <c r="I310" s="60"/>
      <c r="J310" s="1" t="str">
        <f t="shared" si="90"/>
        <v/>
      </c>
      <c r="L310" s="25">
        <f t="shared" si="99"/>
        <v>0</v>
      </c>
      <c r="M310" s="60">
        <f t="shared" si="100"/>
        <v>0</v>
      </c>
      <c r="N310" s="60">
        <f t="shared" si="101"/>
        <v>0</v>
      </c>
      <c r="O310" s="60">
        <f t="shared" si="102"/>
        <v>0</v>
      </c>
    </row>
    <row r="311" spans="1:15" hidden="1" x14ac:dyDescent="0.2">
      <c r="A311" s="21"/>
      <c r="B311" s="28">
        <v>891</v>
      </c>
      <c r="C311" s="28">
        <v>4000</v>
      </c>
      <c r="D311" s="28">
        <v>9100</v>
      </c>
      <c r="E311" s="28">
        <v>220</v>
      </c>
      <c r="F311" s="28" t="s">
        <v>53</v>
      </c>
      <c r="G311" s="29"/>
      <c r="H311" s="60"/>
      <c r="I311" s="60"/>
      <c r="J311" s="1" t="str">
        <f t="shared" si="90"/>
        <v/>
      </c>
      <c r="L311" s="25">
        <f t="shared" si="99"/>
        <v>0</v>
      </c>
      <c r="M311" s="60">
        <f t="shared" si="100"/>
        <v>0</v>
      </c>
      <c r="N311" s="60">
        <f t="shared" si="101"/>
        <v>0</v>
      </c>
      <c r="O311" s="60">
        <f t="shared" si="102"/>
        <v>0</v>
      </c>
    </row>
    <row r="312" spans="1:15" hidden="1" x14ac:dyDescent="0.2">
      <c r="A312" s="21"/>
      <c r="B312" s="28">
        <v>891</v>
      </c>
      <c r="C312" s="28">
        <v>4000</v>
      </c>
      <c r="D312" s="28">
        <v>9100</v>
      </c>
      <c r="E312" s="28">
        <v>230</v>
      </c>
      <c r="F312" s="28" t="s">
        <v>54</v>
      </c>
      <c r="G312" s="29"/>
      <c r="H312" s="60"/>
      <c r="I312" s="60"/>
      <c r="J312" s="1" t="str">
        <f t="shared" si="90"/>
        <v/>
      </c>
      <c r="L312" s="25">
        <f t="shared" si="99"/>
        <v>0</v>
      </c>
      <c r="M312" s="60">
        <f t="shared" si="100"/>
        <v>0</v>
      </c>
      <c r="N312" s="60">
        <f t="shared" si="101"/>
        <v>0</v>
      </c>
      <c r="O312" s="60">
        <f t="shared" si="102"/>
        <v>0</v>
      </c>
    </row>
    <row r="313" spans="1:15" hidden="1" x14ac:dyDescent="0.2">
      <c r="A313" s="21"/>
      <c r="B313" s="28">
        <v>891</v>
      </c>
      <c r="C313" s="28">
        <v>4000</v>
      </c>
      <c r="D313" s="28">
        <v>9100</v>
      </c>
      <c r="E313" s="28">
        <v>240</v>
      </c>
      <c r="F313" s="28" t="s">
        <v>55</v>
      </c>
      <c r="G313" s="29"/>
      <c r="H313" s="60"/>
      <c r="I313" s="60"/>
      <c r="J313" s="1" t="str">
        <f t="shared" si="90"/>
        <v/>
      </c>
      <c r="L313" s="25">
        <f t="shared" si="99"/>
        <v>0</v>
      </c>
      <c r="M313" s="60">
        <f t="shared" si="100"/>
        <v>0</v>
      </c>
      <c r="N313" s="60">
        <f t="shared" si="101"/>
        <v>0</v>
      </c>
      <c r="O313" s="60">
        <f t="shared" si="102"/>
        <v>0</v>
      </c>
    </row>
    <row r="314" spans="1:15" hidden="1" x14ac:dyDescent="0.2">
      <c r="A314" s="21"/>
      <c r="B314" s="28">
        <v>891</v>
      </c>
      <c r="C314" s="28">
        <v>4000</v>
      </c>
      <c r="D314" s="28">
        <v>9100</v>
      </c>
      <c r="E314" s="28">
        <v>250</v>
      </c>
      <c r="F314" s="28" t="s">
        <v>56</v>
      </c>
      <c r="G314" s="29"/>
      <c r="H314" s="60"/>
      <c r="I314" s="60"/>
      <c r="J314" s="1" t="str">
        <f t="shared" si="90"/>
        <v/>
      </c>
      <c r="L314" s="25">
        <f t="shared" si="99"/>
        <v>0</v>
      </c>
      <c r="M314" s="60">
        <f t="shared" si="100"/>
        <v>0</v>
      </c>
      <c r="N314" s="60">
        <f t="shared" si="101"/>
        <v>0</v>
      </c>
      <c r="O314" s="60">
        <f t="shared" si="102"/>
        <v>0</v>
      </c>
    </row>
    <row r="315" spans="1:15" hidden="1" x14ac:dyDescent="0.2">
      <c r="A315" s="21"/>
      <c r="B315" s="28"/>
      <c r="C315" s="28"/>
      <c r="D315" s="28"/>
      <c r="E315" s="28"/>
      <c r="F315" s="28"/>
      <c r="G315" s="60"/>
      <c r="H315" s="60"/>
      <c r="I315" s="60"/>
      <c r="J315" s="1" t="str">
        <f t="shared" si="90"/>
        <v/>
      </c>
      <c r="L315" s="25">
        <f t="shared" si="99"/>
        <v>0</v>
      </c>
      <c r="M315" s="60">
        <f t="shared" si="100"/>
        <v>0</v>
      </c>
      <c r="N315" s="60">
        <f t="shared" si="101"/>
        <v>0</v>
      </c>
      <c r="O315" s="60">
        <f t="shared" si="102"/>
        <v>0</v>
      </c>
    </row>
    <row r="316" spans="1:15" hidden="1" x14ac:dyDescent="0.2">
      <c r="A316" s="21"/>
      <c r="B316" s="28"/>
      <c r="C316" s="28"/>
      <c r="D316" s="28"/>
      <c r="E316" s="28"/>
      <c r="F316" s="28"/>
      <c r="G316" s="60"/>
      <c r="H316" s="60"/>
      <c r="I316" s="60"/>
      <c r="J316" s="1" t="str">
        <f t="shared" si="90"/>
        <v/>
      </c>
      <c r="L316" s="25">
        <f t="shared" si="99"/>
        <v>0</v>
      </c>
      <c r="M316" s="60">
        <f t="shared" si="100"/>
        <v>0</v>
      </c>
      <c r="N316" s="60">
        <f t="shared" si="101"/>
        <v>0</v>
      </c>
      <c r="O316" s="60">
        <f t="shared" si="102"/>
        <v>0</v>
      </c>
    </row>
    <row r="317" spans="1:15" hidden="1" x14ac:dyDescent="0.2">
      <c r="A317" s="21"/>
      <c r="B317" s="28"/>
      <c r="C317" s="28"/>
      <c r="D317" s="28"/>
      <c r="E317" s="28"/>
      <c r="F317" s="28"/>
      <c r="G317" s="60"/>
      <c r="H317" s="60"/>
      <c r="I317" s="60"/>
      <c r="J317" s="1" t="str">
        <f t="shared" si="90"/>
        <v/>
      </c>
      <c r="L317" s="25">
        <f t="shared" si="99"/>
        <v>0</v>
      </c>
      <c r="M317" s="60">
        <f t="shared" si="100"/>
        <v>0</v>
      </c>
      <c r="N317" s="60">
        <f t="shared" si="101"/>
        <v>0</v>
      </c>
      <c r="O317" s="60">
        <f t="shared" si="102"/>
        <v>0</v>
      </c>
    </row>
    <row r="318" spans="1:15" hidden="1" x14ac:dyDescent="0.2">
      <c r="A318" s="21"/>
      <c r="B318" s="28"/>
      <c r="C318" s="28"/>
      <c r="D318" s="28"/>
      <c r="E318" s="28"/>
      <c r="F318" s="28"/>
      <c r="G318" s="60"/>
      <c r="H318" s="60"/>
      <c r="I318" s="60"/>
      <c r="J318" s="1" t="str">
        <f t="shared" si="90"/>
        <v/>
      </c>
      <c r="L318" s="25">
        <f t="shared" si="99"/>
        <v>0</v>
      </c>
      <c r="M318" s="60">
        <f t="shared" si="100"/>
        <v>0</v>
      </c>
      <c r="N318" s="60">
        <f t="shared" si="101"/>
        <v>0</v>
      </c>
      <c r="O318" s="60">
        <f t="shared" si="102"/>
        <v>0</v>
      </c>
    </row>
    <row r="319" spans="1:15" hidden="1" x14ac:dyDescent="0.2">
      <c r="A319" s="21"/>
      <c r="B319" s="28"/>
      <c r="C319" s="28"/>
      <c r="D319" s="28"/>
      <c r="E319" s="28"/>
      <c r="F319" s="28"/>
      <c r="G319" s="60"/>
      <c r="H319" s="60"/>
      <c r="I319" s="60"/>
      <c r="J319" s="1" t="str">
        <f t="shared" si="90"/>
        <v/>
      </c>
      <c r="L319" s="25">
        <f t="shared" si="99"/>
        <v>0</v>
      </c>
      <c r="M319" s="60">
        <f t="shared" si="100"/>
        <v>0</v>
      </c>
      <c r="N319" s="60">
        <f t="shared" si="101"/>
        <v>0</v>
      </c>
      <c r="O319" s="60">
        <f t="shared" si="102"/>
        <v>0</v>
      </c>
    </row>
    <row r="320" spans="1:15" hidden="1" x14ac:dyDescent="0.2">
      <c r="A320" s="21"/>
      <c r="B320" s="28"/>
      <c r="C320" s="28"/>
      <c r="D320" s="28"/>
      <c r="E320" s="28"/>
      <c r="F320" s="28"/>
      <c r="G320" s="60"/>
      <c r="H320" s="60"/>
      <c r="I320" s="60"/>
      <c r="J320" s="1" t="str">
        <f t="shared" si="90"/>
        <v/>
      </c>
      <c r="L320" s="25">
        <f t="shared" si="99"/>
        <v>0</v>
      </c>
      <c r="M320" s="60">
        <f t="shared" si="100"/>
        <v>0</v>
      </c>
      <c r="N320" s="60">
        <f t="shared" si="101"/>
        <v>0</v>
      </c>
      <c r="O320" s="60">
        <f t="shared" si="102"/>
        <v>0</v>
      </c>
    </row>
    <row r="321" spans="1:18" hidden="1" x14ac:dyDescent="0.2">
      <c r="A321" s="21"/>
      <c r="B321" s="28"/>
      <c r="C321" s="28"/>
      <c r="D321" s="28"/>
      <c r="E321" s="28"/>
      <c r="F321" s="28"/>
      <c r="G321" s="60"/>
      <c r="H321" s="60"/>
      <c r="I321" s="60"/>
      <c r="J321" s="1" t="str">
        <f t="shared" si="90"/>
        <v/>
      </c>
      <c r="L321" s="25">
        <f t="shared" si="99"/>
        <v>0</v>
      </c>
      <c r="M321" s="60">
        <f t="shared" si="100"/>
        <v>0</v>
      </c>
      <c r="N321" s="60">
        <f t="shared" si="101"/>
        <v>0</v>
      </c>
      <c r="O321" s="60">
        <f t="shared" si="102"/>
        <v>0</v>
      </c>
    </row>
    <row r="322" spans="1:18" hidden="1" x14ac:dyDescent="0.2">
      <c r="A322" s="21"/>
      <c r="B322" s="28"/>
      <c r="C322" s="28"/>
      <c r="D322" s="28"/>
      <c r="E322" s="28"/>
      <c r="F322" s="28"/>
      <c r="G322" s="60"/>
      <c r="H322" s="60"/>
      <c r="I322" s="60"/>
      <c r="J322" s="1" t="str">
        <f t="shared" si="90"/>
        <v/>
      </c>
      <c r="L322" s="25">
        <f t="shared" si="99"/>
        <v>0</v>
      </c>
      <c r="M322" s="60">
        <f t="shared" si="100"/>
        <v>0</v>
      </c>
      <c r="N322" s="60">
        <f t="shared" si="101"/>
        <v>0</v>
      </c>
      <c r="O322" s="60">
        <f t="shared" si="102"/>
        <v>0</v>
      </c>
    </row>
    <row r="323" spans="1:18" hidden="1" x14ac:dyDescent="0.2">
      <c r="A323" s="21"/>
      <c r="B323" s="28"/>
      <c r="C323" s="28"/>
      <c r="D323" s="28"/>
      <c r="E323" s="28"/>
      <c r="F323" s="28"/>
      <c r="G323" s="60"/>
      <c r="H323" s="60"/>
      <c r="I323" s="60"/>
      <c r="J323" s="1" t="str">
        <f t="shared" si="90"/>
        <v/>
      </c>
      <c r="L323" s="25">
        <f t="shared" si="99"/>
        <v>0</v>
      </c>
      <c r="M323" s="60">
        <f t="shared" si="100"/>
        <v>0</v>
      </c>
      <c r="N323" s="60">
        <f t="shared" si="101"/>
        <v>0</v>
      </c>
      <c r="O323" s="60">
        <f t="shared" si="102"/>
        <v>0</v>
      </c>
    </row>
    <row r="324" spans="1:18" hidden="1" x14ac:dyDescent="0.2">
      <c r="A324" s="21"/>
      <c r="B324" s="28"/>
      <c r="C324" s="28"/>
      <c r="D324" s="28"/>
      <c r="E324" s="28"/>
      <c r="F324" s="28"/>
      <c r="G324" s="60"/>
      <c r="H324" s="60"/>
      <c r="I324" s="60"/>
      <c r="J324" s="1" t="str">
        <f t="shared" si="90"/>
        <v/>
      </c>
      <c r="L324" s="25">
        <f t="shared" si="99"/>
        <v>0</v>
      </c>
      <c r="M324" s="60">
        <f t="shared" si="100"/>
        <v>0</v>
      </c>
      <c r="N324" s="60">
        <f t="shared" si="101"/>
        <v>0</v>
      </c>
      <c r="O324" s="60">
        <f t="shared" si="102"/>
        <v>0</v>
      </c>
    </row>
    <row r="325" spans="1:18" hidden="1" x14ac:dyDescent="0.2">
      <c r="A325" s="21"/>
      <c r="B325" s="28"/>
      <c r="C325" s="28"/>
      <c r="D325" s="28"/>
      <c r="E325" s="28"/>
      <c r="F325" s="28"/>
      <c r="G325" s="60"/>
      <c r="H325" s="60"/>
      <c r="I325" s="60"/>
      <c r="J325" s="1" t="str">
        <f t="shared" si="90"/>
        <v/>
      </c>
      <c r="L325" s="25">
        <f t="shared" si="99"/>
        <v>0</v>
      </c>
      <c r="M325" s="60">
        <f t="shared" si="100"/>
        <v>0</v>
      </c>
      <c r="N325" s="60">
        <f t="shared" si="101"/>
        <v>0</v>
      </c>
      <c r="O325" s="60">
        <f t="shared" si="102"/>
        <v>0</v>
      </c>
    </row>
    <row r="326" spans="1:18" hidden="1" x14ac:dyDescent="0.2">
      <c r="A326" s="21"/>
      <c r="B326" s="28"/>
      <c r="C326" s="28"/>
      <c r="D326" s="28"/>
      <c r="E326" s="28"/>
      <c r="F326" s="28"/>
      <c r="G326" s="29"/>
      <c r="H326" s="29"/>
      <c r="I326" s="29"/>
      <c r="J326" s="1" t="str">
        <f>IF(J327="*","*","")</f>
        <v/>
      </c>
      <c r="L326" s="25">
        <f t="shared" si="99"/>
        <v>0</v>
      </c>
      <c r="M326" s="60">
        <f t="shared" si="100"/>
        <v>0</v>
      </c>
      <c r="N326" s="60">
        <f>IF(A326=432,F326,0)</f>
        <v>0</v>
      </c>
      <c r="O326" s="60">
        <f>IF(B326=432,G326,0)</f>
        <v>0</v>
      </c>
    </row>
    <row r="327" spans="1:18" hidden="1" x14ac:dyDescent="0.2">
      <c r="A327" s="21"/>
      <c r="B327" s="28"/>
      <c r="C327" s="28"/>
      <c r="D327" s="28"/>
      <c r="E327" s="28"/>
      <c r="F327" s="18" t="s">
        <v>74</v>
      </c>
      <c r="G327" s="26">
        <f>SUM(G309:G326)</f>
        <v>0</v>
      </c>
      <c r="H327" s="26">
        <f>SUM(H309:H326)</f>
        <v>0</v>
      </c>
      <c r="I327" s="26">
        <f>SUM(I309:I326)</f>
        <v>0</v>
      </c>
      <c r="J327" s="1" t="str">
        <f>IF(G327&gt;0.49,"*","")</f>
        <v/>
      </c>
      <c r="L327" s="26">
        <f>SUM(L308:L326)</f>
        <v>0</v>
      </c>
      <c r="M327" s="26">
        <f>SUM(M309:M326)</f>
        <v>0</v>
      </c>
      <c r="N327" s="26">
        <f>SUM(N309:N326)</f>
        <v>0</v>
      </c>
      <c r="O327" s="26">
        <f>SUM(O309:O326)</f>
        <v>0</v>
      </c>
    </row>
    <row r="328" spans="1:18" hidden="1" x14ac:dyDescent="0.2">
      <c r="A328" s="21"/>
      <c r="B328" s="28"/>
      <c r="C328" s="28"/>
      <c r="D328" s="28"/>
      <c r="E328" s="28"/>
      <c r="F328" s="28"/>
      <c r="G328" s="29"/>
      <c r="H328" s="29"/>
      <c r="I328" s="29"/>
      <c r="J328" s="1" t="str">
        <f>IF(J327="*","*","")</f>
        <v/>
      </c>
      <c r="L328" s="25">
        <f t="shared" si="99"/>
        <v>0</v>
      </c>
      <c r="M328" s="60">
        <f t="shared" ref="M328:M334" si="103">IF(B328=490,G328,0)</f>
        <v>0</v>
      </c>
      <c r="N328" s="60">
        <f>IF(A328=432,F328,0)</f>
        <v>0</v>
      </c>
      <c r="O328" s="60">
        <f>IF(B328=432,G328,0)</f>
        <v>0</v>
      </c>
    </row>
    <row r="329" spans="1:18" hidden="1" x14ac:dyDescent="0.2">
      <c r="A329" s="21"/>
      <c r="B329" s="28"/>
      <c r="C329" s="28"/>
      <c r="D329" s="28"/>
      <c r="E329" s="28"/>
      <c r="F329" s="28"/>
      <c r="G329" s="29"/>
      <c r="H329" s="29"/>
      <c r="I329" s="29"/>
      <c r="J329" s="1" t="str">
        <f>IF(J328="*","*","")</f>
        <v/>
      </c>
      <c r="L329" s="25">
        <f>IF(E329&lt;300,G329,0)</f>
        <v>0</v>
      </c>
      <c r="M329" s="60">
        <f t="shared" si="103"/>
        <v>0</v>
      </c>
      <c r="N329" s="60">
        <f>IF(B329=432,G329,0)</f>
        <v>0</v>
      </c>
      <c r="O329" s="60">
        <f>IF(B329=410,G329,0)</f>
        <v>0</v>
      </c>
    </row>
    <row r="330" spans="1:18" hidden="1" x14ac:dyDescent="0.2">
      <c r="A330" s="21"/>
      <c r="B330" s="28"/>
      <c r="C330" s="28"/>
      <c r="D330" s="28"/>
      <c r="E330" s="28"/>
      <c r="F330" s="28"/>
      <c r="G330" s="29"/>
      <c r="H330" s="29"/>
      <c r="I330" s="29"/>
      <c r="J330" s="1" t="str">
        <f>IF(J329="*","*","")</f>
        <v/>
      </c>
      <c r="L330" s="25">
        <f t="shared" si="99"/>
        <v>0</v>
      </c>
      <c r="M330" s="60">
        <f t="shared" si="103"/>
        <v>0</v>
      </c>
      <c r="N330" s="60">
        <f>IF(B330=432,G330,0)</f>
        <v>0</v>
      </c>
      <c r="O330" s="60">
        <f>IF(B330=410,G330,0)</f>
        <v>0</v>
      </c>
    </row>
    <row r="331" spans="1:18" hidden="1" x14ac:dyDescent="0.2">
      <c r="A331" s="21"/>
      <c r="B331" s="28"/>
      <c r="C331" s="28"/>
      <c r="D331" s="28"/>
      <c r="E331" s="28"/>
      <c r="F331" s="28"/>
      <c r="G331" s="29"/>
      <c r="H331" s="29"/>
      <c r="I331" s="29"/>
      <c r="J331" s="1" t="str">
        <f>IF(J332="*","*","")</f>
        <v/>
      </c>
      <c r="L331" s="25">
        <f t="shared" si="99"/>
        <v>0</v>
      </c>
      <c r="M331" s="60">
        <f t="shared" si="103"/>
        <v>0</v>
      </c>
      <c r="N331" s="60">
        <f t="shared" ref="N331:O334" si="104">IF(A331=432,F331,0)</f>
        <v>0</v>
      </c>
      <c r="O331" s="60">
        <f t="shared" si="104"/>
        <v>0</v>
      </c>
    </row>
    <row r="332" spans="1:18" hidden="1" x14ac:dyDescent="0.2">
      <c r="A332" s="21"/>
      <c r="B332" s="28"/>
      <c r="C332" s="28"/>
      <c r="D332" s="28"/>
      <c r="E332" s="28"/>
      <c r="F332" s="18" t="s">
        <v>79</v>
      </c>
      <c r="G332" s="26">
        <f>SUM(G329:G331)</f>
        <v>0</v>
      </c>
      <c r="H332" s="26">
        <f>SUM(H329:H331)</f>
        <v>0</v>
      </c>
      <c r="I332" s="26">
        <f>SUM(I329:I331)</f>
        <v>0</v>
      </c>
      <c r="J332" s="1" t="str">
        <f>IF(G332&gt;0.49,"*","")</f>
        <v/>
      </c>
      <c r="L332" s="26">
        <f>SUM(L328:L331)</f>
        <v>0</v>
      </c>
      <c r="M332" s="60">
        <f t="shared" si="103"/>
        <v>0</v>
      </c>
      <c r="N332" s="60">
        <f t="shared" si="104"/>
        <v>0</v>
      </c>
      <c r="O332" s="60">
        <f t="shared" si="104"/>
        <v>0</v>
      </c>
    </row>
    <row r="333" spans="1:18" hidden="1" x14ac:dyDescent="0.2">
      <c r="A333" s="21"/>
      <c r="B333" s="28"/>
      <c r="C333" s="28"/>
      <c r="D333" s="28"/>
      <c r="E333" s="28"/>
      <c r="F333" s="28"/>
      <c r="G333" s="29"/>
      <c r="H333" s="29"/>
      <c r="I333" s="29"/>
      <c r="J333" s="1" t="str">
        <f>IF(J332="*","*","")</f>
        <v/>
      </c>
      <c r="M333" s="60">
        <f t="shared" si="103"/>
        <v>0</v>
      </c>
      <c r="N333" s="60">
        <f t="shared" si="104"/>
        <v>0</v>
      </c>
      <c r="O333" s="60">
        <f t="shared" si="104"/>
        <v>0</v>
      </c>
    </row>
    <row r="334" spans="1:18" x14ac:dyDescent="0.2">
      <c r="A334" s="21"/>
      <c r="J334" s="1" t="str">
        <f>IF(J335="*","*","")</f>
        <v>*</v>
      </c>
      <c r="M334" s="60">
        <f t="shared" si="103"/>
        <v>0</v>
      </c>
      <c r="N334" s="60">
        <f t="shared" si="104"/>
        <v>0</v>
      </c>
      <c r="O334" s="60">
        <f t="shared" si="104"/>
        <v>0</v>
      </c>
    </row>
    <row r="335" spans="1:18" x14ac:dyDescent="0.2">
      <c r="A335" s="21"/>
      <c r="F335" s="12" t="s">
        <v>45</v>
      </c>
      <c r="G335" s="75">
        <f>SUM(G332,G327,G307,G302,G281,G270,G265,G248,G242,G237,G216,G209,G194,G181,G170,G160,G148,G135,G121,G105)</f>
        <v>2401266.6921354011</v>
      </c>
      <c r="H335" s="75">
        <f>SUM(H332,H327,H307,H302,H281,H265,H248,H242,H237,H209,H194,H181,H170,H160,H148,H135,H121,H105)</f>
        <v>2200545.657652251</v>
      </c>
      <c r="I335" s="75">
        <f>SUM(I332,I327,I307,I302,I281,I265,I248,I242,I237,I209,I194,I181,I170,I160,I148,I135,I121,I105)</f>
        <v>2143284.7917883783</v>
      </c>
      <c r="J335" s="1" t="str">
        <f>IF(G335&gt;0.49,"*","")</f>
        <v>*</v>
      </c>
      <c r="L335" s="75">
        <f>SUM(L332,L327,L307,L302,L281,L265,L248,L242,L237,L209,L194,L181,L170,L160,L148,L121,L135,L105)-'Payroll Input'!M137</f>
        <v>0</v>
      </c>
      <c r="M335" s="75">
        <f>SUM(M332,M327,M307,M302,M281,M265,M248,M242,M237,M209,M194,M181,M170,M160,M148,M121,M105)</f>
        <v>0</v>
      </c>
      <c r="N335" s="75">
        <f>SUM(N332,N327,N307,N302,N281,N265,N248,N242,N237,N209,N194,N181,N170,N160,N148,N121,N105)</f>
        <v>0</v>
      </c>
      <c r="O335" s="75">
        <f>SUM(O332,O327,O307,O302,O281,O265,O248,O242,O237,O209,O194,O181,O170,O160,O148,O121,O105)</f>
        <v>0</v>
      </c>
      <c r="P335" s="10">
        <f>'Revenue Input'!J28-'Payroll Input'!M137-'Expense Input'!J55-G337</f>
        <v>0</v>
      </c>
      <c r="Q335" s="10">
        <f>SUMIF(E69:E331,"&gt;299",G69:G331)</f>
        <v>1111799.4399354011</v>
      </c>
      <c r="R335" s="171">
        <f>SUMIF(E69:E331,"&lt;300",G69:G331)</f>
        <v>1289467.2522</v>
      </c>
    </row>
    <row r="336" spans="1:18" x14ac:dyDescent="0.2">
      <c r="A336" s="21"/>
      <c r="B336" s="12"/>
      <c r="C336" s="12"/>
      <c r="D336" s="12"/>
      <c r="E336" s="12"/>
      <c r="J336" s="1" t="s">
        <v>71</v>
      </c>
      <c r="M336" s="25"/>
      <c r="N336" s="25"/>
      <c r="O336" s="25"/>
      <c r="Q336" s="10">
        <f>+'Expense Input'!J55</f>
        <v>1111799.4399354011</v>
      </c>
      <c r="R336" s="172">
        <f>+'Payroll Input'!M137</f>
        <v>1289467.2522</v>
      </c>
    </row>
    <row r="337" spans="1:18" ht="18.75" customHeight="1" x14ac:dyDescent="0.2">
      <c r="A337" s="21"/>
      <c r="B337" s="12"/>
      <c r="C337" s="12"/>
      <c r="D337" s="181" t="str">
        <f>IF(G337&gt;0,"Excess of Revenues Over Expenditures","Excess (Deficit) of Revenues Over Expenditures")</f>
        <v>Excess of Revenues Over Expenditures</v>
      </c>
      <c r="E337" s="181"/>
      <c r="F337" s="181"/>
      <c r="G337" s="71">
        <f>+G65-G335</f>
        <v>39770.898764588404</v>
      </c>
      <c r="H337" s="71">
        <f>+H65-H335</f>
        <v>280937.81315313466</v>
      </c>
      <c r="I337" s="71">
        <f>+I65-I335</f>
        <v>-1908103.266498059</v>
      </c>
      <c r="J337" s="1" t="s">
        <v>71</v>
      </c>
      <c r="M337" s="71">
        <f>+M65-M335</f>
        <v>0</v>
      </c>
      <c r="N337" s="71">
        <f>+N65-N335</f>
        <v>0</v>
      </c>
      <c r="O337" s="71">
        <f>+O65-O335</f>
        <v>0</v>
      </c>
      <c r="Q337" s="10">
        <f>+Q335-Q336</f>
        <v>0</v>
      </c>
      <c r="R337" s="10">
        <f>+R335-R336</f>
        <v>0</v>
      </c>
    </row>
    <row r="338" spans="1:18" x14ac:dyDescent="0.2">
      <c r="J338" s="1" t="s">
        <v>71</v>
      </c>
      <c r="N338" s="25"/>
      <c r="O338" s="25"/>
    </row>
    <row r="339" spans="1:18" x14ac:dyDescent="0.2">
      <c r="D339" s="181" t="s">
        <v>175</v>
      </c>
      <c r="E339" s="181"/>
      <c r="F339" s="181"/>
      <c r="G339" s="118">
        <f>139399.11+112479</f>
        <v>251878.11</v>
      </c>
      <c r="H339" s="72">
        <f>+G339</f>
        <v>251878.11</v>
      </c>
      <c r="I339" s="72">
        <f>+G339</f>
        <v>251878.11</v>
      </c>
      <c r="J339" s="1" t="s">
        <v>71</v>
      </c>
      <c r="N339" s="72"/>
      <c r="O339" s="72"/>
      <c r="Q339" s="10">
        <f>+G335-'Expense Input'!J55-'Payroll Input'!M137</f>
        <v>0</v>
      </c>
    </row>
    <row r="340" spans="1:18" x14ac:dyDescent="0.2">
      <c r="J340" s="1" t="s">
        <v>71</v>
      </c>
      <c r="N340" s="25"/>
      <c r="O340" s="25"/>
    </row>
    <row r="341" spans="1:18" ht="12.75" customHeight="1" thickBot="1" x14ac:dyDescent="0.25">
      <c r="D341" s="181" t="s">
        <v>176</v>
      </c>
      <c r="E341" s="181"/>
      <c r="F341" s="181"/>
      <c r="G341" s="54">
        <f>+G337+G339</f>
        <v>291649.00876458839</v>
      </c>
      <c r="H341" s="54">
        <f>+H337+H339</f>
        <v>532815.92315313464</v>
      </c>
      <c r="I341" s="54">
        <f>+I337+I339</f>
        <v>-1656225.1564980592</v>
      </c>
      <c r="J341" s="1" t="s">
        <v>71</v>
      </c>
      <c r="N341" s="54"/>
      <c r="O341" s="54"/>
    </row>
    <row r="342" spans="1:18" ht="13.5" thickTop="1" x14ac:dyDescent="0.2"/>
  </sheetData>
  <sheetProtection algorithmName="SHA-512" hashValue="852ytpN9nE4fnKIWfnEJ7K1Jaio381e2s2cmUeMBHBuN8wso65y+2XvxQmiIaNQgYBIuedB5kQnzgoh/ekPTUw==" saltValue="G6qpT/bZUcJnzYFzk9Oo+g==" spinCount="100000" sheet="1" objects="1" scenarios="1"/>
  <autoFilter ref="J1:J341">
    <filterColumn colId="0">
      <customFilters>
        <customFilter operator="notEqual" val=" "/>
      </customFilters>
    </filterColumn>
  </autoFilter>
  <mergeCells count="3">
    <mergeCell ref="D337:F337"/>
    <mergeCell ref="D339:F339"/>
    <mergeCell ref="D341:F341"/>
  </mergeCells>
  <phoneticPr fontId="9" type="noConversion"/>
  <printOptions horizontalCentered="1"/>
  <pageMargins left="0" right="0" top="0.5" bottom="0.5" header="0" footer="0"/>
  <pageSetup scale="95" fitToHeight="5" orientation="portrait" r:id="rId1"/>
  <headerFooter alignWithMargins="0"/>
  <rowBreaks count="2" manualBreakCount="2">
    <brk id="160" max="16383" man="1"/>
    <brk id="2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70"/>
  <sheetViews>
    <sheetView showOutlineSymbols="0" topLeftCell="B1" zoomScaleNormal="100" workbookViewId="0">
      <selection activeCell="B1" sqref="B1"/>
    </sheetView>
  </sheetViews>
  <sheetFormatPr defaultColWidth="9.140625" defaultRowHeight="12.75" customHeight="1" x14ac:dyDescent="0.2"/>
  <cols>
    <col min="1" max="1" width="6.7109375" style="1" hidden="1" customWidth="1"/>
    <col min="2" max="2" width="3.85546875" style="1" customWidth="1"/>
    <col min="3" max="3" width="4.28515625" style="1" customWidth="1"/>
    <col min="4" max="5" width="1.85546875" style="1" hidden="1" customWidth="1"/>
    <col min="6" max="6" width="26.28515625" style="1" customWidth="1"/>
    <col min="7" max="7" width="0.85546875" style="1" customWidth="1"/>
    <col min="8" max="8" width="14.5703125" style="1" bestFit="1" customWidth="1"/>
    <col min="9" max="9" width="0.85546875" style="1" customWidth="1"/>
    <col min="10" max="10" width="14.5703125" style="1" bestFit="1" customWidth="1"/>
    <col min="11" max="11" width="1.28515625" style="1" customWidth="1"/>
    <col min="12" max="12" width="21.28515625" style="1" bestFit="1" customWidth="1"/>
    <col min="13" max="14" width="4.42578125" style="28" hidden="1" customWidth="1"/>
    <col min="15" max="15" width="9.140625" style="28" hidden="1" customWidth="1"/>
    <col min="16" max="16" width="4" style="28" hidden="1" customWidth="1"/>
    <col min="17" max="17" width="5" style="28" hidden="1" customWidth="1"/>
    <col min="18" max="19" width="2" style="28" hidden="1" customWidth="1"/>
    <col min="20" max="20" width="32.85546875" style="28" hidden="1" customWidth="1"/>
    <col min="21" max="21" width="10" style="28" hidden="1" customWidth="1"/>
    <col min="22" max="22" width="9.140625" style="28" hidden="1" customWidth="1"/>
    <col min="23" max="16384" width="9.140625" style="28"/>
  </cols>
  <sheetData>
    <row r="1" spans="1:22" s="1" customFormat="1" x14ac:dyDescent="0.2">
      <c r="B1" s="70" t="str">
        <f>Budget!B1</f>
        <v xml:space="preserve"> </v>
      </c>
      <c r="C1" s="70"/>
      <c r="D1" s="70"/>
      <c r="E1" s="70"/>
      <c r="F1" s="70"/>
      <c r="M1" s="1" t="s">
        <v>71</v>
      </c>
    </row>
    <row r="2" spans="1:22" s="1" customFormat="1" x14ac:dyDescent="0.2">
      <c r="B2" s="70" t="s">
        <v>92</v>
      </c>
      <c r="C2" s="70"/>
      <c r="D2" s="70"/>
      <c r="E2" s="70"/>
      <c r="F2" s="70"/>
      <c r="M2" s="1" t="s">
        <v>71</v>
      </c>
    </row>
    <row r="3" spans="1:22" s="1" customFormat="1" ht="17.25" customHeight="1" x14ac:dyDescent="0.2">
      <c r="M3" s="1" t="s">
        <v>71</v>
      </c>
    </row>
    <row r="4" spans="1:22" s="1" customFormat="1" x14ac:dyDescent="0.2">
      <c r="M4" s="1" t="s">
        <v>71</v>
      </c>
    </row>
    <row r="5" spans="1:22" s="1" customFormat="1" x14ac:dyDescent="0.2">
      <c r="G5" s="16"/>
      <c r="H5" s="16" t="s">
        <v>98</v>
      </c>
      <c r="J5" s="82" t="s">
        <v>98</v>
      </c>
      <c r="M5" s="1" t="s">
        <v>71</v>
      </c>
    </row>
    <row r="6" spans="1:22" s="1" customFormat="1" x14ac:dyDescent="0.2">
      <c r="G6" s="16"/>
      <c r="H6" s="16" t="s">
        <v>89</v>
      </c>
      <c r="J6" s="82" t="s">
        <v>58</v>
      </c>
      <c r="M6" s="1" t="s">
        <v>71</v>
      </c>
    </row>
    <row r="7" spans="1:22" s="7" customFormat="1" ht="12.75" customHeight="1" x14ac:dyDescent="0.2">
      <c r="G7" s="17"/>
      <c r="H7" s="81" t="s">
        <v>166</v>
      </c>
      <c r="J7" s="81" t="s">
        <v>177</v>
      </c>
      <c r="L7" s="17" t="s">
        <v>51</v>
      </c>
      <c r="M7" s="1" t="s">
        <v>71</v>
      </c>
      <c r="N7" s="1"/>
    </row>
    <row r="8" spans="1:22" s="1" customFormat="1" ht="17.25" customHeight="1" x14ac:dyDescent="0.2">
      <c r="B8" s="12"/>
      <c r="C8" s="12"/>
      <c r="D8" s="12"/>
      <c r="E8" s="12"/>
      <c r="F8" s="12"/>
      <c r="M8" s="1" t="s">
        <v>71</v>
      </c>
    </row>
    <row r="9" spans="1:22" ht="12.75" customHeight="1" x14ac:dyDescent="0.2">
      <c r="A9" s="28"/>
      <c r="B9" s="37"/>
      <c r="C9" s="37"/>
      <c r="D9" s="37"/>
      <c r="E9" s="37"/>
      <c r="F9" s="28"/>
      <c r="G9" s="30"/>
      <c r="H9" s="30"/>
      <c r="I9" s="28"/>
      <c r="J9" s="30"/>
      <c r="L9" s="19"/>
      <c r="M9" s="1" t="s">
        <v>71</v>
      </c>
      <c r="N9" s="1"/>
    </row>
    <row r="10" spans="1:22" ht="12.75" customHeight="1" x14ac:dyDescent="0.2">
      <c r="A10" s="48"/>
      <c r="B10" s="91">
        <v>100</v>
      </c>
      <c r="C10" s="91">
        <v>3300</v>
      </c>
      <c r="D10" s="91">
        <v>0</v>
      </c>
      <c r="E10" s="91">
        <v>0</v>
      </c>
      <c r="F10" s="92" t="s">
        <v>198</v>
      </c>
      <c r="G10" s="93"/>
      <c r="H10" s="93">
        <v>2427570.0704274704</v>
      </c>
      <c r="I10" s="48"/>
      <c r="J10" s="93">
        <f>J43-J46</f>
        <v>2324082.4837946733</v>
      </c>
      <c r="K10" s="89"/>
      <c r="L10" s="90" t="s">
        <v>136</v>
      </c>
      <c r="M10" s="28" t="str">
        <f>IF((H10+J10)&gt;0.49,"*","")</f>
        <v>*</v>
      </c>
      <c r="P10" s="91">
        <v>100</v>
      </c>
      <c r="Q10" s="91">
        <v>3300</v>
      </c>
      <c r="R10" s="91">
        <v>0</v>
      </c>
      <c r="S10" s="91">
        <v>0</v>
      </c>
      <c r="T10" s="92" t="s">
        <v>198</v>
      </c>
      <c r="U10" s="91" t="s">
        <v>199</v>
      </c>
      <c r="V10" s="93">
        <v>2427570.0704274704</v>
      </c>
    </row>
    <row r="11" spans="1:22" ht="12.75" customHeight="1" x14ac:dyDescent="0.2">
      <c r="A11" s="28"/>
      <c r="B11" s="91">
        <v>100</v>
      </c>
      <c r="C11" s="91">
        <v>3301</v>
      </c>
      <c r="D11" s="91">
        <v>0</v>
      </c>
      <c r="E11" s="91">
        <v>0</v>
      </c>
      <c r="F11" s="92" t="s">
        <v>200</v>
      </c>
      <c r="G11" s="55"/>
      <c r="H11" s="93">
        <v>13444.119999999999</v>
      </c>
      <c r="I11" s="28"/>
      <c r="J11" s="93">
        <v>0</v>
      </c>
      <c r="L11" s="90" t="s">
        <v>194</v>
      </c>
      <c r="M11" s="28" t="str">
        <f>IF((H11+J11)&gt;0.49,"*","")</f>
        <v>*</v>
      </c>
      <c r="P11" s="91">
        <v>100</v>
      </c>
      <c r="Q11" s="91">
        <v>3301</v>
      </c>
      <c r="R11" s="91">
        <v>0</v>
      </c>
      <c r="S11" s="91">
        <v>0</v>
      </c>
      <c r="T11" s="92" t="s">
        <v>200</v>
      </c>
      <c r="U11" s="91" t="s">
        <v>199</v>
      </c>
      <c r="V11" s="93">
        <v>13444.119999999999</v>
      </c>
    </row>
    <row r="12" spans="1:22" ht="12.75" customHeight="1" x14ac:dyDescent="0.2">
      <c r="A12" s="28"/>
      <c r="B12" s="91">
        <v>100</v>
      </c>
      <c r="C12" s="91">
        <v>3305</v>
      </c>
      <c r="D12" s="91">
        <v>0</v>
      </c>
      <c r="E12" s="91">
        <v>0</v>
      </c>
      <c r="F12" s="92" t="s">
        <v>201</v>
      </c>
      <c r="G12" s="55"/>
      <c r="H12" s="93">
        <v>46299.929572529785</v>
      </c>
      <c r="I12" s="28"/>
      <c r="J12" s="93">
        <f>J46</f>
        <v>40445.879905395923</v>
      </c>
      <c r="L12" s="90" t="s">
        <v>136</v>
      </c>
      <c r="M12" s="28" t="str">
        <f>IF((H12+J12)&gt;0.49,"*","")</f>
        <v>*</v>
      </c>
      <c r="P12" s="91">
        <v>100</v>
      </c>
      <c r="Q12" s="91">
        <v>3305</v>
      </c>
      <c r="R12" s="91">
        <v>0</v>
      </c>
      <c r="S12" s="91">
        <v>0</v>
      </c>
      <c r="T12" s="92" t="s">
        <v>201</v>
      </c>
      <c r="U12" s="91" t="s">
        <v>199</v>
      </c>
      <c r="V12" s="93">
        <v>46299.929572529785</v>
      </c>
    </row>
    <row r="13" spans="1:22" ht="12.75" customHeight="1" x14ac:dyDescent="0.2">
      <c r="A13" s="28"/>
      <c r="B13" s="91">
        <v>100</v>
      </c>
      <c r="C13" s="91">
        <v>3334</v>
      </c>
      <c r="D13" s="83">
        <v>0</v>
      </c>
      <c r="E13" s="83">
        <v>0</v>
      </c>
      <c r="F13" s="92" t="s">
        <v>202</v>
      </c>
      <c r="G13" s="55"/>
      <c r="H13" s="93">
        <v>3430</v>
      </c>
      <c r="I13" s="28"/>
      <c r="J13" s="93">
        <f>+H13/EnrOld*EnrNew</f>
        <v>3262.0882971268393</v>
      </c>
      <c r="L13" s="90" t="s">
        <v>304</v>
      </c>
      <c r="M13" s="28" t="str">
        <f t="shared" ref="M13:M21" si="0">IF((H13+J13)&gt;0.49,"*","")</f>
        <v>*</v>
      </c>
      <c r="P13" s="91">
        <v>100</v>
      </c>
      <c r="Q13" s="91">
        <v>3334</v>
      </c>
      <c r="R13" s="91">
        <v>0</v>
      </c>
      <c r="S13" s="91">
        <v>0</v>
      </c>
      <c r="T13" s="92" t="s">
        <v>202</v>
      </c>
      <c r="U13" s="91" t="s">
        <v>203</v>
      </c>
      <c r="V13" s="93">
        <v>3430</v>
      </c>
    </row>
    <row r="14" spans="1:22" ht="12.75" customHeight="1" x14ac:dyDescent="0.2">
      <c r="A14" s="28"/>
      <c r="B14" s="91">
        <v>100</v>
      </c>
      <c r="C14" s="91">
        <v>3397</v>
      </c>
      <c r="D14" s="91">
        <v>0</v>
      </c>
      <c r="E14" s="91">
        <v>0</v>
      </c>
      <c r="F14" s="92" t="s">
        <v>204</v>
      </c>
      <c r="G14" s="55"/>
      <c r="H14" s="93">
        <v>84051.710000000021</v>
      </c>
      <c r="I14" s="28"/>
      <c r="J14" s="55">
        <f>+(H14/EnrOld*EnrNew)*0.9</f>
        <v>71943.349734708201</v>
      </c>
      <c r="L14" s="90" t="s">
        <v>305</v>
      </c>
      <c r="M14" s="28" t="str">
        <f>IF((H14+J14)&gt;0.49,"*","")</f>
        <v>*</v>
      </c>
      <c r="P14" s="91">
        <v>100</v>
      </c>
      <c r="Q14" s="91">
        <v>3397</v>
      </c>
      <c r="R14" s="91">
        <v>0</v>
      </c>
      <c r="S14" s="91">
        <v>0</v>
      </c>
      <c r="T14" s="92" t="s">
        <v>204</v>
      </c>
      <c r="U14" s="91" t="s">
        <v>203</v>
      </c>
      <c r="V14" s="93">
        <v>84051.710000000021</v>
      </c>
    </row>
    <row r="15" spans="1:22" ht="12.75" customHeight="1" x14ac:dyDescent="0.2">
      <c r="A15" s="28"/>
      <c r="B15" s="91">
        <v>100</v>
      </c>
      <c r="C15" s="91">
        <v>3473</v>
      </c>
      <c r="D15" s="83">
        <v>0</v>
      </c>
      <c r="E15" s="83">
        <v>0</v>
      </c>
      <c r="F15" s="92" t="s">
        <v>205</v>
      </c>
      <c r="G15" s="55"/>
      <c r="H15" s="93">
        <v>1370.9</v>
      </c>
      <c r="I15" s="28"/>
      <c r="J15" s="93">
        <f>+H15/EnrOld*EnrNew</f>
        <v>1303.7891680848934</v>
      </c>
      <c r="L15" s="90" t="s">
        <v>304</v>
      </c>
      <c r="M15" s="28" t="str">
        <f t="shared" si="0"/>
        <v>*</v>
      </c>
      <c r="P15" s="91">
        <v>100</v>
      </c>
      <c r="Q15" s="91">
        <v>3473</v>
      </c>
      <c r="R15" s="91">
        <v>0</v>
      </c>
      <c r="S15" s="91">
        <v>0</v>
      </c>
      <c r="T15" s="92" t="s">
        <v>205</v>
      </c>
      <c r="U15" s="91" t="s">
        <v>206</v>
      </c>
      <c r="V15" s="93">
        <v>1370.9</v>
      </c>
    </row>
    <row r="16" spans="1:22" ht="12.75" hidden="1" customHeight="1" x14ac:dyDescent="0.2">
      <c r="A16" s="28"/>
      <c r="B16" s="91"/>
      <c r="C16" s="91"/>
      <c r="D16" s="91"/>
      <c r="E16" s="91"/>
      <c r="F16" s="92"/>
      <c r="G16" s="55"/>
      <c r="H16" s="55"/>
      <c r="I16" s="28"/>
      <c r="J16" s="55"/>
      <c r="L16" s="77"/>
      <c r="M16" s="28" t="str">
        <f>IF((H16+J16)&gt;0.49,"*","")</f>
        <v/>
      </c>
      <c r="O16" s="60"/>
    </row>
    <row r="17" spans="1:15" ht="12.75" hidden="1" customHeight="1" x14ac:dyDescent="0.2">
      <c r="A17" s="28"/>
      <c r="B17" s="91"/>
      <c r="C17" s="91"/>
      <c r="D17" s="91"/>
      <c r="E17" s="91"/>
      <c r="F17" s="92"/>
      <c r="G17" s="93"/>
      <c r="H17" s="93"/>
      <c r="I17" s="48"/>
      <c r="J17" s="93"/>
      <c r="K17" s="89"/>
      <c r="L17" s="90"/>
      <c r="M17" s="28" t="str">
        <f t="shared" si="0"/>
        <v/>
      </c>
      <c r="O17" s="60"/>
    </row>
    <row r="18" spans="1:15" ht="12.75" hidden="1" customHeight="1" x14ac:dyDescent="0.2">
      <c r="A18" s="28"/>
      <c r="B18" s="91"/>
      <c r="C18" s="91"/>
      <c r="D18" s="91"/>
      <c r="E18" s="91"/>
      <c r="F18" s="92"/>
      <c r="G18" s="93"/>
      <c r="H18" s="93"/>
      <c r="I18" s="48"/>
      <c r="J18" s="93"/>
      <c r="K18" s="89"/>
      <c r="L18" s="90"/>
      <c r="M18" s="28" t="str">
        <f t="shared" si="0"/>
        <v/>
      </c>
    </row>
    <row r="19" spans="1:15" ht="12.75" hidden="1" customHeight="1" x14ac:dyDescent="0.2">
      <c r="A19" s="28"/>
      <c r="B19" s="91"/>
      <c r="C19" s="91"/>
      <c r="D19" s="91"/>
      <c r="E19" s="91"/>
      <c r="F19" s="92"/>
      <c r="G19" s="93"/>
      <c r="H19" s="93"/>
      <c r="I19" s="48"/>
      <c r="J19" s="93"/>
      <c r="K19" s="89"/>
      <c r="L19" s="90"/>
      <c r="M19" s="28" t="str">
        <f t="shared" si="0"/>
        <v/>
      </c>
    </row>
    <row r="20" spans="1:15" ht="12.75" hidden="1" customHeight="1" x14ac:dyDescent="0.2">
      <c r="A20" s="48"/>
      <c r="B20" s="91"/>
      <c r="C20" s="91"/>
      <c r="D20" s="91"/>
      <c r="E20" s="91"/>
      <c r="F20" s="92"/>
      <c r="G20" s="55"/>
      <c r="H20" s="55"/>
      <c r="I20" s="28"/>
      <c r="J20" s="55"/>
      <c r="L20" s="77"/>
      <c r="M20" s="28" t="str">
        <f t="shared" si="0"/>
        <v/>
      </c>
    </row>
    <row r="21" spans="1:15" ht="12.75" hidden="1" customHeight="1" x14ac:dyDescent="0.2">
      <c r="A21" s="48"/>
      <c r="B21" s="91"/>
      <c r="C21" s="91"/>
      <c r="D21" s="91"/>
      <c r="E21" s="91"/>
      <c r="F21" s="92"/>
      <c r="G21" s="93"/>
      <c r="H21" s="93"/>
      <c r="I21" s="48"/>
      <c r="J21" s="93"/>
      <c r="K21" s="89"/>
      <c r="L21" s="90"/>
      <c r="M21" s="28" t="str">
        <f t="shared" si="0"/>
        <v/>
      </c>
    </row>
    <row r="22" spans="1:15" ht="12.75" hidden="1" customHeight="1" x14ac:dyDescent="0.2">
      <c r="A22" s="28"/>
      <c r="B22" s="52"/>
      <c r="C22" s="52"/>
      <c r="D22" s="52"/>
      <c r="E22" s="52"/>
      <c r="F22" s="52"/>
      <c r="G22" s="55"/>
      <c r="H22" s="55"/>
      <c r="I22" s="28"/>
      <c r="J22" s="55"/>
      <c r="K22" s="56"/>
      <c r="L22" s="59"/>
      <c r="M22" s="28" t="str">
        <f>IF(J22&gt;0.49,"*","")</f>
        <v/>
      </c>
    </row>
    <row r="23" spans="1:15" ht="12.75" hidden="1" customHeight="1" x14ac:dyDescent="0.2">
      <c r="A23" s="28"/>
      <c r="B23" s="52"/>
      <c r="C23" s="52"/>
      <c r="D23" s="52"/>
      <c r="E23" s="52"/>
      <c r="F23" s="52"/>
      <c r="G23" s="55"/>
      <c r="H23" s="55"/>
      <c r="I23" s="28"/>
      <c r="J23" s="55"/>
      <c r="K23" s="56"/>
      <c r="L23" s="59"/>
      <c r="M23" s="28" t="str">
        <f>IF(J23&gt;0.49,"*","")</f>
        <v/>
      </c>
    </row>
    <row r="24" spans="1:15" ht="12.75" hidden="1" customHeight="1" x14ac:dyDescent="0.2">
      <c r="A24" s="28"/>
      <c r="B24" s="52"/>
      <c r="C24" s="52"/>
      <c r="D24" s="52"/>
      <c r="E24" s="52"/>
      <c r="F24" s="52"/>
      <c r="G24" s="55"/>
      <c r="H24" s="55"/>
      <c r="I24" s="28"/>
      <c r="J24" s="55"/>
      <c r="K24" s="56"/>
      <c r="L24" s="59"/>
      <c r="M24" s="28" t="str">
        <f>IF(J24&gt;0.49,"*","")</f>
        <v/>
      </c>
    </row>
    <row r="25" spans="1:15" ht="12.75" hidden="1" customHeight="1" x14ac:dyDescent="0.2">
      <c r="A25" s="28"/>
      <c r="B25" s="52"/>
      <c r="C25" s="52"/>
      <c r="D25" s="52"/>
      <c r="E25" s="52"/>
      <c r="F25" s="52"/>
      <c r="G25" s="55"/>
      <c r="H25" s="55"/>
      <c r="I25" s="28"/>
      <c r="J25" s="55"/>
      <c r="K25" s="56"/>
      <c r="L25" s="59"/>
      <c r="M25" s="28" t="str">
        <f>IF(J25&gt;0.49,"*","")</f>
        <v/>
      </c>
    </row>
    <row r="26" spans="1:15" ht="12.75" hidden="1" customHeight="1" x14ac:dyDescent="0.2">
      <c r="A26" s="28"/>
      <c r="B26" s="52"/>
      <c r="C26" s="52"/>
      <c r="D26" s="52"/>
      <c r="E26" s="52"/>
      <c r="F26" s="52"/>
      <c r="G26" s="55"/>
      <c r="H26" s="55"/>
      <c r="I26" s="28"/>
      <c r="J26" s="55"/>
      <c r="K26" s="56"/>
      <c r="L26" s="59"/>
      <c r="M26" s="28" t="str">
        <f>IF(J26&gt;0.49,"*","")</f>
        <v/>
      </c>
    </row>
    <row r="27" spans="1:15" x14ac:dyDescent="0.2">
      <c r="A27" s="28"/>
      <c r="B27" s="52"/>
      <c r="C27" s="52"/>
      <c r="D27" s="52"/>
      <c r="E27" s="52"/>
      <c r="F27" s="52"/>
      <c r="G27" s="55"/>
      <c r="H27" s="55"/>
      <c r="I27" s="28"/>
      <c r="J27" s="55"/>
      <c r="L27" s="19"/>
      <c r="M27" s="28" t="s">
        <v>71</v>
      </c>
    </row>
    <row r="28" spans="1:15" x14ac:dyDescent="0.2">
      <c r="A28" s="28"/>
      <c r="B28" s="52"/>
      <c r="C28" s="52"/>
      <c r="D28" s="52"/>
      <c r="E28" s="52"/>
      <c r="F28" s="52"/>
      <c r="G28" s="55"/>
      <c r="H28" s="55">
        <f>SUM(H10:H27)</f>
        <v>2576166.73</v>
      </c>
      <c r="I28" s="28"/>
      <c r="J28" s="55">
        <f>SUM(J10:J27)</f>
        <v>2441037.5908999895</v>
      </c>
      <c r="L28" s="19"/>
      <c r="M28" s="28" t="s">
        <v>71</v>
      </c>
      <c r="O28" s="60"/>
    </row>
    <row r="29" spans="1:15" hidden="1" x14ac:dyDescent="0.2">
      <c r="A29" s="28"/>
      <c r="B29" s="52"/>
      <c r="C29" s="52"/>
      <c r="D29" s="52"/>
      <c r="E29" s="52"/>
      <c r="F29" s="52"/>
      <c r="G29" s="55"/>
      <c r="H29" s="55"/>
      <c r="I29" s="28"/>
      <c r="J29" s="55"/>
      <c r="L29" s="19"/>
    </row>
    <row r="30" spans="1:15" hidden="1" x14ac:dyDescent="0.2">
      <c r="A30" s="28"/>
      <c r="B30" s="52"/>
      <c r="C30" s="52"/>
      <c r="D30" s="52"/>
      <c r="E30" s="52"/>
      <c r="F30" s="52"/>
      <c r="G30" s="55"/>
      <c r="H30" s="39" t="s">
        <v>130</v>
      </c>
      <c r="I30" s="28"/>
      <c r="J30" s="39">
        <v>399.56</v>
      </c>
      <c r="L30" s="19"/>
    </row>
    <row r="31" spans="1:15" hidden="1" x14ac:dyDescent="0.2">
      <c r="A31" s="28"/>
      <c r="B31" s="52"/>
      <c r="C31" s="52"/>
      <c r="D31" s="52"/>
      <c r="E31" s="52"/>
      <c r="F31" s="52"/>
      <c r="G31" s="55"/>
      <c r="H31" s="39" t="s">
        <v>131</v>
      </c>
      <c r="I31" s="28"/>
      <c r="J31" s="39">
        <v>380</v>
      </c>
      <c r="L31" s="19"/>
    </row>
    <row r="32" spans="1:15" hidden="1" x14ac:dyDescent="0.2">
      <c r="A32" s="28"/>
      <c r="B32" s="52"/>
      <c r="C32" s="52"/>
      <c r="D32" s="52"/>
      <c r="E32" s="52"/>
      <c r="F32" s="52"/>
      <c r="G32" s="55"/>
      <c r="H32" s="130" t="s">
        <v>132</v>
      </c>
      <c r="I32" s="48"/>
      <c r="J32" s="131">
        <v>1.02</v>
      </c>
      <c r="L32" s="19"/>
    </row>
    <row r="33" spans="1:12" hidden="1" x14ac:dyDescent="0.2">
      <c r="A33" s="28"/>
      <c r="B33" s="52"/>
      <c r="C33" s="52"/>
      <c r="D33" s="52"/>
      <c r="E33" s="52"/>
      <c r="F33" s="52"/>
      <c r="G33" s="55"/>
      <c r="H33" s="93"/>
      <c r="I33" s="48"/>
      <c r="J33" s="93"/>
      <c r="L33" s="19"/>
    </row>
    <row r="34" spans="1:12" hidden="1" x14ac:dyDescent="0.2">
      <c r="A34" s="28"/>
      <c r="B34" s="52"/>
      <c r="C34" s="52"/>
      <c r="D34" s="52"/>
      <c r="E34" s="52"/>
      <c r="F34" s="52"/>
      <c r="G34" s="55"/>
      <c r="H34" s="93"/>
      <c r="I34" s="48"/>
      <c r="J34" s="93"/>
      <c r="L34" s="19"/>
    </row>
    <row r="35" spans="1:12" hidden="1" x14ac:dyDescent="0.2">
      <c r="A35" s="28"/>
      <c r="B35" s="28"/>
      <c r="C35" s="28"/>
      <c r="D35" s="28"/>
      <c r="E35" s="28"/>
      <c r="F35" s="28"/>
      <c r="G35" s="30"/>
      <c r="H35" s="30"/>
      <c r="I35" s="48"/>
      <c r="J35" s="30"/>
      <c r="L35" s="19"/>
    </row>
    <row r="36" spans="1:12" hidden="1" x14ac:dyDescent="0.2">
      <c r="A36" s="28"/>
      <c r="B36" s="28"/>
      <c r="C36" s="28"/>
      <c r="D36" s="28"/>
      <c r="E36" s="28"/>
      <c r="F36" s="28"/>
      <c r="G36" s="30"/>
      <c r="H36" s="130"/>
      <c r="I36" s="48"/>
      <c r="J36" s="130"/>
      <c r="L36" s="19"/>
    </row>
    <row r="37" spans="1:12" hidden="1" x14ac:dyDescent="0.2">
      <c r="A37" s="28"/>
      <c r="B37" s="28"/>
      <c r="C37" s="28"/>
      <c r="D37" s="28"/>
      <c r="E37" s="28"/>
      <c r="F37" s="28"/>
      <c r="G37" s="30"/>
      <c r="H37" s="130"/>
      <c r="I37" s="48"/>
      <c r="J37" s="130"/>
      <c r="L37" s="19"/>
    </row>
    <row r="38" spans="1:12" hidden="1" x14ac:dyDescent="0.2">
      <c r="A38" s="28"/>
      <c r="B38" s="28"/>
      <c r="C38" s="28"/>
      <c r="D38" s="28"/>
      <c r="E38" s="28"/>
      <c r="F38" s="28"/>
      <c r="G38" s="31"/>
      <c r="H38" s="130" t="s">
        <v>258</v>
      </c>
      <c r="I38" s="48"/>
      <c r="J38" s="130">
        <f>H10+H12</f>
        <v>2473870</v>
      </c>
      <c r="L38" s="19"/>
    </row>
    <row r="39" spans="1:12" hidden="1" x14ac:dyDescent="0.2">
      <c r="A39" s="28"/>
      <c r="B39" s="28"/>
      <c r="C39" s="28"/>
      <c r="D39" s="28"/>
      <c r="E39" s="28"/>
      <c r="F39" s="28"/>
      <c r="G39" s="30"/>
      <c r="H39" s="130" t="s">
        <v>259</v>
      </c>
      <c r="I39" s="48"/>
      <c r="J39" s="130">
        <f>J38/EnrOld*EnrNew*1.005</f>
        <v>2364528.3637000695</v>
      </c>
      <c r="L39" s="19"/>
    </row>
    <row r="40" spans="1:12" hidden="1" x14ac:dyDescent="0.2">
      <c r="A40" s="28"/>
      <c r="B40" s="28"/>
      <c r="C40" s="28"/>
      <c r="D40" s="28"/>
      <c r="E40" s="28"/>
      <c r="F40" s="28"/>
      <c r="G40" s="30"/>
      <c r="H40" s="130"/>
      <c r="I40" s="48"/>
      <c r="J40" s="130"/>
      <c r="L40" s="19"/>
    </row>
    <row r="41" spans="1:12" hidden="1" x14ac:dyDescent="0.2">
      <c r="A41" s="28"/>
      <c r="B41" s="28"/>
      <c r="C41" s="28"/>
      <c r="D41" s="28"/>
      <c r="E41" s="28"/>
      <c r="F41" s="28"/>
      <c r="G41" s="30"/>
      <c r="H41" s="130"/>
      <c r="I41" s="48"/>
      <c r="J41" s="130"/>
      <c r="L41" s="19"/>
    </row>
    <row r="42" spans="1:12" hidden="1" x14ac:dyDescent="0.2">
      <c r="A42" s="28"/>
      <c r="B42" s="28"/>
      <c r="C42" s="28"/>
      <c r="D42" s="28"/>
      <c r="E42" s="28"/>
      <c r="F42" s="28"/>
      <c r="G42" s="30"/>
      <c r="H42" s="30"/>
      <c r="I42" s="48"/>
      <c r="J42" s="30"/>
      <c r="L42" s="19"/>
    </row>
    <row r="43" spans="1:12" hidden="1" x14ac:dyDescent="0.2">
      <c r="A43" s="28"/>
      <c r="B43" s="28"/>
      <c r="C43" s="28"/>
      <c r="D43" s="28"/>
      <c r="E43" s="28"/>
      <c r="F43" s="28"/>
      <c r="G43" s="30"/>
      <c r="H43" s="130" t="s">
        <v>259</v>
      </c>
      <c r="I43" s="48"/>
      <c r="J43" s="130">
        <f>J39</f>
        <v>2364528.3637000695</v>
      </c>
      <c r="L43" s="19"/>
    </row>
    <row r="44" spans="1:12" hidden="1" x14ac:dyDescent="0.2">
      <c r="A44" s="28"/>
      <c r="B44" s="28"/>
      <c r="C44" s="28"/>
      <c r="D44" s="28"/>
      <c r="E44" s="28"/>
      <c r="F44" s="28"/>
      <c r="G44" s="30"/>
      <c r="H44" s="130" t="s">
        <v>160</v>
      </c>
      <c r="I44" s="48"/>
      <c r="J44" s="130">
        <f>0.05*J43</f>
        <v>118226.41818500348</v>
      </c>
      <c r="L44" s="19"/>
    </row>
    <row r="45" spans="1:12" hidden="1" x14ac:dyDescent="0.2">
      <c r="A45" s="28"/>
      <c r="B45" s="28"/>
      <c r="C45" s="28"/>
      <c r="D45" s="28"/>
      <c r="E45" s="28"/>
      <c r="F45" s="28"/>
      <c r="G45" s="30"/>
      <c r="H45" s="130" t="s">
        <v>225</v>
      </c>
      <c r="I45" s="48"/>
      <c r="J45" s="132">
        <f>J44/EnrNew*250</f>
        <v>77780.538279607557</v>
      </c>
      <c r="L45" s="19"/>
    </row>
    <row r="46" spans="1:12" hidden="1" x14ac:dyDescent="0.2">
      <c r="A46" s="28"/>
      <c r="B46" s="28"/>
      <c r="C46" s="28"/>
      <c r="D46" s="28"/>
      <c r="E46" s="28"/>
      <c r="F46" s="28"/>
      <c r="G46" s="30"/>
      <c r="H46" s="130" t="s">
        <v>260</v>
      </c>
      <c r="I46" s="48"/>
      <c r="J46" s="130">
        <f>J44-J45</f>
        <v>40445.879905395923</v>
      </c>
      <c r="L46" s="19"/>
    </row>
    <row r="47" spans="1:12" hidden="1" x14ac:dyDescent="0.2">
      <c r="A47" s="28"/>
      <c r="B47" s="28"/>
      <c r="C47" s="28"/>
      <c r="D47" s="28"/>
      <c r="E47" s="28"/>
      <c r="F47" s="28"/>
      <c r="G47" s="30"/>
      <c r="H47" s="39"/>
      <c r="I47" s="28"/>
      <c r="J47" s="39"/>
      <c r="L47" s="19"/>
    </row>
    <row r="48" spans="1:12" hidden="1" x14ac:dyDescent="0.2">
      <c r="A48" s="28"/>
      <c r="B48" s="28"/>
      <c r="C48" s="28"/>
      <c r="D48" s="28"/>
      <c r="E48" s="28"/>
      <c r="F48" s="28"/>
      <c r="G48" s="30"/>
      <c r="H48" s="39"/>
      <c r="I48" s="28"/>
      <c r="J48" s="39"/>
      <c r="L48" s="19"/>
    </row>
    <row r="49" spans="1:12" hidden="1" x14ac:dyDescent="0.2">
      <c r="A49" s="28"/>
      <c r="B49" s="28"/>
      <c r="C49" s="28"/>
      <c r="D49" s="28"/>
      <c r="E49" s="28"/>
      <c r="F49" s="28"/>
      <c r="G49" s="30"/>
      <c r="H49" s="39"/>
      <c r="I49" s="28"/>
      <c r="J49" s="39"/>
      <c r="L49" s="19"/>
    </row>
    <row r="50" spans="1:12" hidden="1" x14ac:dyDescent="0.2">
      <c r="A50" s="28"/>
      <c r="B50" s="28"/>
      <c r="C50" s="28"/>
      <c r="D50" s="28"/>
      <c r="E50" s="28"/>
      <c r="F50" s="28"/>
      <c r="G50" s="30"/>
      <c r="H50" s="39"/>
      <c r="I50" s="28"/>
      <c r="J50" s="39"/>
      <c r="L50" s="19"/>
    </row>
    <row r="51" spans="1:12" hidden="1" x14ac:dyDescent="0.2">
      <c r="A51" s="28"/>
      <c r="B51" s="28"/>
      <c r="C51" s="28"/>
      <c r="D51" s="28"/>
      <c r="E51" s="28"/>
      <c r="F51" s="28"/>
      <c r="G51" s="30"/>
      <c r="H51" s="39"/>
      <c r="I51" s="28"/>
      <c r="J51" s="39"/>
      <c r="L51" s="19"/>
    </row>
    <row r="52" spans="1:12" hidden="1" x14ac:dyDescent="0.2">
      <c r="A52" s="28"/>
      <c r="B52" s="28"/>
      <c r="C52" s="28"/>
      <c r="D52" s="28"/>
      <c r="E52" s="28"/>
      <c r="F52" s="28"/>
      <c r="G52" s="31"/>
      <c r="H52" s="39"/>
      <c r="I52" s="28"/>
      <c r="J52" s="39"/>
      <c r="L52" s="19"/>
    </row>
    <row r="53" spans="1:12" hidden="1" x14ac:dyDescent="0.2">
      <c r="A53" s="28"/>
      <c r="B53" s="28"/>
      <c r="C53" s="28"/>
      <c r="D53" s="28"/>
      <c r="E53" s="28"/>
      <c r="F53" s="28"/>
      <c r="G53" s="30"/>
      <c r="H53" s="39"/>
      <c r="I53" s="28"/>
      <c r="J53" s="39"/>
      <c r="L53" s="19"/>
    </row>
    <row r="54" spans="1:12" hidden="1" x14ac:dyDescent="0.2">
      <c r="A54" s="28"/>
      <c r="B54" s="28"/>
      <c r="C54" s="28"/>
      <c r="D54" s="28"/>
      <c r="E54" s="28"/>
      <c r="F54" s="28"/>
      <c r="G54" s="30"/>
      <c r="H54" s="39"/>
      <c r="I54" s="28"/>
      <c r="J54" s="39"/>
      <c r="L54" s="19"/>
    </row>
    <row r="55" spans="1:12" hidden="1" x14ac:dyDescent="0.2">
      <c r="A55" s="28"/>
      <c r="B55" s="28"/>
      <c r="C55" s="28"/>
      <c r="D55" s="28"/>
      <c r="E55" s="28"/>
      <c r="F55" s="28"/>
      <c r="G55" s="30"/>
      <c r="H55" s="39"/>
      <c r="I55" s="28"/>
      <c r="J55" s="39"/>
      <c r="L55" s="19"/>
    </row>
    <row r="56" spans="1:12" hidden="1" x14ac:dyDescent="0.2">
      <c r="A56" s="28"/>
      <c r="B56" s="28"/>
      <c r="C56" s="28"/>
      <c r="D56" s="28"/>
      <c r="E56" s="28"/>
      <c r="F56" s="28"/>
      <c r="G56" s="30"/>
      <c r="H56" s="39"/>
      <c r="I56" s="28"/>
      <c r="J56" s="39"/>
      <c r="L56" s="19"/>
    </row>
    <row r="57" spans="1:12" hidden="1" x14ac:dyDescent="0.2">
      <c r="A57" s="28"/>
      <c r="B57" s="28"/>
      <c r="C57" s="28"/>
      <c r="D57" s="28"/>
      <c r="E57" s="28"/>
      <c r="F57" s="28"/>
      <c r="G57" s="30"/>
      <c r="H57" s="30"/>
      <c r="I57" s="28"/>
      <c r="J57" s="30"/>
      <c r="L57" s="19"/>
    </row>
    <row r="58" spans="1:12" hidden="1" x14ac:dyDescent="0.2">
      <c r="A58" s="28"/>
      <c r="B58" s="38"/>
      <c r="C58" s="38"/>
      <c r="D58" s="38"/>
      <c r="E58" s="38"/>
      <c r="F58" s="28"/>
      <c r="G58" s="30"/>
      <c r="H58" s="30"/>
      <c r="I58" s="28"/>
      <c r="J58" s="30"/>
      <c r="L58" s="19"/>
    </row>
    <row r="59" spans="1:12" hidden="1" x14ac:dyDescent="0.2">
      <c r="A59" s="28"/>
      <c r="B59" s="28"/>
      <c r="C59" s="28"/>
      <c r="D59" s="28"/>
      <c r="E59" s="28"/>
      <c r="F59" s="28"/>
      <c r="G59" s="30"/>
      <c r="H59" s="30"/>
      <c r="I59" s="28"/>
      <c r="J59" s="30"/>
      <c r="L59" s="19"/>
    </row>
    <row r="60" spans="1:12" hidden="1" x14ac:dyDescent="0.2">
      <c r="A60" s="28"/>
      <c r="B60" s="28"/>
      <c r="C60" s="28"/>
      <c r="D60" s="28"/>
      <c r="E60" s="28"/>
      <c r="F60" s="28"/>
      <c r="G60" s="30"/>
      <c r="H60" s="30"/>
      <c r="I60" s="28"/>
      <c r="J60" s="30"/>
      <c r="L60" s="19"/>
    </row>
    <row r="61" spans="1:12" hidden="1" x14ac:dyDescent="0.2">
      <c r="A61" s="28"/>
      <c r="B61" s="28"/>
      <c r="C61" s="28"/>
      <c r="D61" s="28"/>
      <c r="E61" s="28"/>
      <c r="F61" s="28"/>
      <c r="G61" s="30"/>
      <c r="H61" s="30"/>
      <c r="I61" s="28"/>
      <c r="J61" s="30"/>
      <c r="L61" s="19"/>
    </row>
    <row r="62" spans="1:12" hidden="1" x14ac:dyDescent="0.2">
      <c r="A62" s="28"/>
      <c r="B62" s="28"/>
      <c r="C62" s="28"/>
      <c r="D62" s="28"/>
      <c r="E62" s="28"/>
      <c r="F62" s="28"/>
      <c r="G62" s="30"/>
      <c r="H62" s="30"/>
      <c r="I62" s="28"/>
      <c r="J62" s="30"/>
      <c r="L62" s="19"/>
    </row>
    <row r="63" spans="1:12" hidden="1" x14ac:dyDescent="0.2">
      <c r="A63" s="28"/>
      <c r="B63" s="28"/>
      <c r="C63" s="28"/>
      <c r="D63" s="28"/>
      <c r="E63" s="28"/>
      <c r="F63" s="28"/>
      <c r="G63" s="30"/>
      <c r="H63" s="30"/>
      <c r="I63" s="28"/>
      <c r="J63" s="30"/>
      <c r="L63" s="19"/>
    </row>
    <row r="64" spans="1:12" hidden="1" x14ac:dyDescent="0.2">
      <c r="A64" s="28"/>
      <c r="B64" s="28"/>
      <c r="C64" s="28"/>
      <c r="D64" s="28"/>
      <c r="E64" s="28"/>
      <c r="F64" s="28"/>
      <c r="G64" s="30"/>
      <c r="H64" s="30"/>
      <c r="I64" s="28"/>
      <c r="J64" s="30"/>
      <c r="L64" s="19"/>
    </row>
    <row r="65" spans="1:12" hidden="1" x14ac:dyDescent="0.2">
      <c r="A65" s="28"/>
      <c r="B65" s="28"/>
      <c r="C65" s="28"/>
      <c r="D65" s="28"/>
      <c r="E65" s="28"/>
      <c r="F65" s="28"/>
      <c r="G65" s="30"/>
      <c r="H65" s="30"/>
      <c r="I65" s="28"/>
      <c r="J65" s="30"/>
      <c r="L65" s="19"/>
    </row>
    <row r="66" spans="1:12" hidden="1" x14ac:dyDescent="0.2">
      <c r="A66" s="28"/>
      <c r="B66" s="28"/>
      <c r="C66" s="28"/>
      <c r="D66" s="28"/>
      <c r="E66" s="28"/>
      <c r="F66" s="28"/>
      <c r="G66" s="30"/>
      <c r="H66" s="30"/>
      <c r="I66" s="28"/>
      <c r="J66" s="30"/>
      <c r="L66" s="19"/>
    </row>
    <row r="67" spans="1:12" hidden="1" x14ac:dyDescent="0.2">
      <c r="A67" s="28"/>
      <c r="B67" s="28"/>
      <c r="C67" s="28"/>
      <c r="D67" s="28"/>
      <c r="E67" s="28"/>
      <c r="F67" s="28"/>
      <c r="G67" s="30"/>
      <c r="H67" s="30"/>
      <c r="I67" s="28"/>
      <c r="J67" s="30"/>
      <c r="L67" s="19"/>
    </row>
    <row r="68" spans="1:12" hidden="1" x14ac:dyDescent="0.2">
      <c r="A68" s="28"/>
      <c r="B68" s="28"/>
      <c r="C68" s="28"/>
      <c r="D68" s="28"/>
      <c r="E68" s="28"/>
      <c r="F68" s="28"/>
      <c r="G68" s="30"/>
      <c r="H68" s="30"/>
      <c r="I68" s="28"/>
      <c r="J68" s="30"/>
      <c r="L68" s="19"/>
    </row>
    <row r="69" spans="1:12" hidden="1" x14ac:dyDescent="0.2">
      <c r="A69" s="28"/>
      <c r="B69" s="28"/>
      <c r="C69" s="28"/>
      <c r="D69" s="28"/>
      <c r="E69" s="28"/>
      <c r="F69" s="28"/>
      <c r="G69" s="30"/>
      <c r="H69" s="30"/>
      <c r="I69" s="28"/>
      <c r="J69" s="30"/>
      <c r="L69" s="19"/>
    </row>
    <row r="70" spans="1:12" hidden="1" x14ac:dyDescent="0.2">
      <c r="A70" s="28"/>
      <c r="B70" s="28"/>
      <c r="C70" s="28"/>
      <c r="D70" s="28"/>
      <c r="E70" s="28"/>
      <c r="F70" s="28"/>
      <c r="G70" s="30"/>
      <c r="H70" s="30"/>
      <c r="I70" s="28"/>
      <c r="J70" s="30"/>
      <c r="L70" s="19"/>
    </row>
    <row r="71" spans="1:12" hidden="1" x14ac:dyDescent="0.2">
      <c r="A71" s="28"/>
      <c r="B71" s="28"/>
      <c r="C71" s="28"/>
      <c r="D71" s="28"/>
      <c r="E71" s="28"/>
      <c r="F71" s="28"/>
      <c r="G71" s="30"/>
      <c r="H71" s="30"/>
      <c r="I71" s="28"/>
      <c r="J71" s="30"/>
      <c r="L71" s="19"/>
    </row>
    <row r="72" spans="1:12" hidden="1" x14ac:dyDescent="0.2">
      <c r="A72" s="28"/>
      <c r="B72" s="38"/>
      <c r="C72" s="38"/>
      <c r="D72" s="38"/>
      <c r="E72" s="38"/>
      <c r="F72" s="28"/>
      <c r="G72" s="30"/>
      <c r="H72" s="30"/>
      <c r="I72" s="28"/>
      <c r="J72" s="30"/>
      <c r="L72" s="19"/>
    </row>
    <row r="73" spans="1:12" hidden="1" x14ac:dyDescent="0.2">
      <c r="A73" s="28"/>
      <c r="B73" s="28"/>
      <c r="C73" s="28"/>
      <c r="D73" s="28"/>
      <c r="E73" s="28"/>
      <c r="F73" s="28"/>
      <c r="G73" s="30"/>
      <c r="H73" s="30"/>
      <c r="I73" s="28"/>
      <c r="J73" s="30"/>
      <c r="L73" s="19"/>
    </row>
    <row r="74" spans="1:12" hidden="1" x14ac:dyDescent="0.2">
      <c r="A74" s="28"/>
      <c r="B74" s="28"/>
      <c r="C74" s="28"/>
      <c r="D74" s="28"/>
      <c r="E74" s="28"/>
      <c r="F74" s="28"/>
      <c r="G74" s="30"/>
      <c r="H74" s="30"/>
      <c r="I74" s="28"/>
      <c r="J74" s="30"/>
      <c r="L74" s="19"/>
    </row>
    <row r="75" spans="1:12" hidden="1" x14ac:dyDescent="0.2">
      <c r="A75" s="28"/>
      <c r="B75" s="28"/>
      <c r="C75" s="28"/>
      <c r="D75" s="28"/>
      <c r="E75" s="28"/>
      <c r="F75" s="28"/>
      <c r="G75" s="30"/>
      <c r="H75" s="30"/>
      <c r="I75" s="28"/>
      <c r="J75" s="30"/>
      <c r="L75" s="19"/>
    </row>
    <row r="76" spans="1:12" hidden="1" x14ac:dyDescent="0.2">
      <c r="A76" s="28"/>
      <c r="B76" s="28"/>
      <c r="C76" s="28"/>
      <c r="D76" s="28"/>
      <c r="E76" s="28"/>
      <c r="F76" s="28"/>
      <c r="G76" s="30"/>
      <c r="H76" s="30"/>
      <c r="I76" s="28"/>
      <c r="J76" s="30"/>
      <c r="L76" s="19"/>
    </row>
    <row r="77" spans="1:12" hidden="1" x14ac:dyDescent="0.2">
      <c r="A77" s="28"/>
      <c r="B77" s="28"/>
      <c r="C77" s="28"/>
      <c r="D77" s="28"/>
      <c r="E77" s="28"/>
      <c r="F77" s="28"/>
      <c r="G77" s="30"/>
      <c r="H77" s="30"/>
      <c r="I77" s="28"/>
      <c r="J77" s="30"/>
      <c r="L77" s="19"/>
    </row>
    <row r="78" spans="1:12" hidden="1" x14ac:dyDescent="0.2">
      <c r="A78" s="28"/>
      <c r="B78" s="28"/>
      <c r="C78" s="28"/>
      <c r="D78" s="28"/>
      <c r="E78" s="28"/>
      <c r="F78" s="28"/>
      <c r="G78" s="30"/>
      <c r="H78" s="30"/>
      <c r="I78" s="28"/>
      <c r="J78" s="30"/>
      <c r="L78" s="19"/>
    </row>
    <row r="79" spans="1:12" hidden="1" x14ac:dyDescent="0.2">
      <c r="A79" s="28"/>
      <c r="B79" s="28"/>
      <c r="C79" s="28"/>
      <c r="D79" s="28"/>
      <c r="E79" s="28"/>
      <c r="F79" s="28"/>
      <c r="G79" s="30"/>
      <c r="H79" s="30"/>
      <c r="I79" s="28"/>
      <c r="J79" s="30"/>
      <c r="L79" s="19"/>
    </row>
    <row r="80" spans="1:12" hidden="1" x14ac:dyDescent="0.2">
      <c r="A80" s="28"/>
      <c r="B80" s="28"/>
      <c r="C80" s="28"/>
      <c r="D80" s="28"/>
      <c r="E80" s="28"/>
      <c r="F80" s="28"/>
      <c r="G80" s="30"/>
      <c r="H80" s="30"/>
      <c r="I80" s="28"/>
      <c r="J80" s="30"/>
      <c r="L80" s="19"/>
    </row>
    <row r="81" spans="1:12" hidden="1" x14ac:dyDescent="0.2">
      <c r="A81" s="28"/>
      <c r="B81" s="28"/>
      <c r="C81" s="28"/>
      <c r="D81" s="28"/>
      <c r="E81" s="28"/>
      <c r="F81" s="28"/>
      <c r="G81" s="30"/>
      <c r="H81" s="30"/>
      <c r="I81" s="28"/>
      <c r="J81" s="30"/>
      <c r="L81" s="19"/>
    </row>
    <row r="82" spans="1:12" hidden="1" x14ac:dyDescent="0.2">
      <c r="A82" s="28"/>
      <c r="B82" s="28"/>
      <c r="C82" s="28"/>
      <c r="D82" s="28"/>
      <c r="E82" s="28"/>
      <c r="F82" s="28"/>
      <c r="G82" s="30"/>
      <c r="H82" s="30"/>
      <c r="I82" s="28"/>
      <c r="J82" s="30"/>
      <c r="L82" s="19"/>
    </row>
    <row r="83" spans="1:12" hidden="1" x14ac:dyDescent="0.2">
      <c r="A83" s="28"/>
      <c r="B83" s="28"/>
      <c r="C83" s="28"/>
      <c r="D83" s="28"/>
      <c r="E83" s="28"/>
      <c r="F83" s="28"/>
      <c r="G83" s="30"/>
      <c r="H83" s="30"/>
      <c r="I83" s="28"/>
      <c r="J83" s="30"/>
      <c r="L83" s="19"/>
    </row>
    <row r="84" spans="1:12" hidden="1" x14ac:dyDescent="0.2">
      <c r="A84" s="28"/>
      <c r="B84" s="28"/>
      <c r="C84" s="28"/>
      <c r="D84" s="28"/>
      <c r="E84" s="28"/>
      <c r="F84" s="28"/>
      <c r="G84" s="30"/>
      <c r="H84" s="30"/>
      <c r="I84" s="28"/>
      <c r="J84" s="30"/>
      <c r="L84" s="19"/>
    </row>
    <row r="85" spans="1:12" hidden="1" x14ac:dyDescent="0.2">
      <c r="A85" s="28"/>
      <c r="B85" s="28"/>
      <c r="C85" s="28"/>
      <c r="D85" s="28"/>
      <c r="E85" s="28"/>
      <c r="F85" s="28"/>
      <c r="G85" s="30"/>
      <c r="H85" s="30"/>
      <c r="I85" s="28"/>
      <c r="J85" s="30"/>
      <c r="L85" s="19"/>
    </row>
    <row r="86" spans="1:12" hidden="1" x14ac:dyDescent="0.2">
      <c r="A86" s="28"/>
      <c r="B86" s="28"/>
      <c r="C86" s="28"/>
      <c r="D86" s="28"/>
      <c r="E86" s="28"/>
      <c r="F86" s="28"/>
      <c r="G86" s="30"/>
      <c r="H86" s="30"/>
      <c r="I86" s="28"/>
      <c r="J86" s="30"/>
      <c r="L86" s="19"/>
    </row>
    <row r="87" spans="1:12" hidden="1" x14ac:dyDescent="0.2">
      <c r="A87" s="28"/>
      <c r="B87" s="28"/>
      <c r="C87" s="28"/>
      <c r="D87" s="28"/>
      <c r="E87" s="28"/>
      <c r="F87" s="28"/>
      <c r="G87" s="30"/>
      <c r="H87" s="30"/>
      <c r="I87" s="28"/>
      <c r="J87" s="30"/>
      <c r="L87" s="19"/>
    </row>
    <row r="88" spans="1:12" hidden="1" x14ac:dyDescent="0.2">
      <c r="A88" s="28"/>
      <c r="B88" s="28"/>
      <c r="C88" s="28"/>
      <c r="D88" s="28"/>
      <c r="E88" s="28"/>
      <c r="F88" s="28"/>
      <c r="G88" s="30"/>
      <c r="H88" s="30"/>
      <c r="I88" s="28"/>
      <c r="J88" s="30"/>
      <c r="L88" s="19"/>
    </row>
    <row r="89" spans="1:12" hidden="1" x14ac:dyDescent="0.2">
      <c r="A89" s="28"/>
      <c r="B89" s="28"/>
      <c r="C89" s="28"/>
      <c r="D89" s="28"/>
      <c r="E89" s="28"/>
      <c r="F89" s="28"/>
      <c r="G89" s="30"/>
      <c r="H89" s="30"/>
      <c r="I89" s="28"/>
      <c r="J89" s="30"/>
      <c r="L89" s="19"/>
    </row>
    <row r="90" spans="1:12" hidden="1" x14ac:dyDescent="0.2">
      <c r="A90" s="28"/>
      <c r="B90" s="28"/>
      <c r="C90" s="28"/>
      <c r="D90" s="28"/>
      <c r="E90" s="28"/>
      <c r="F90" s="28"/>
      <c r="G90" s="30"/>
      <c r="H90" s="30"/>
      <c r="I90" s="28"/>
      <c r="J90" s="30"/>
      <c r="L90" s="19"/>
    </row>
    <row r="91" spans="1:12" hidden="1" x14ac:dyDescent="0.2">
      <c r="A91" s="28"/>
      <c r="B91" s="28"/>
      <c r="C91" s="28"/>
      <c r="D91" s="28"/>
      <c r="E91" s="28"/>
      <c r="F91" s="28"/>
      <c r="G91" s="30"/>
      <c r="H91" s="30"/>
      <c r="I91" s="28"/>
      <c r="J91" s="30"/>
      <c r="L91" s="19"/>
    </row>
    <row r="92" spans="1:12" hidden="1" x14ac:dyDescent="0.2">
      <c r="A92" s="28"/>
      <c r="B92" s="28"/>
      <c r="C92" s="28"/>
      <c r="D92" s="28"/>
      <c r="E92" s="28"/>
      <c r="F92" s="28"/>
      <c r="G92" s="30"/>
      <c r="H92" s="30"/>
      <c r="I92" s="28"/>
      <c r="J92" s="30"/>
      <c r="L92" s="19"/>
    </row>
    <row r="93" spans="1:12" hidden="1" x14ac:dyDescent="0.2">
      <c r="A93" s="28"/>
      <c r="B93" s="38"/>
      <c r="C93" s="38"/>
      <c r="D93" s="38"/>
      <c r="E93" s="38"/>
      <c r="F93" s="28"/>
      <c r="G93" s="30"/>
      <c r="H93" s="30"/>
      <c r="I93" s="28"/>
      <c r="J93" s="30"/>
      <c r="L93" s="19"/>
    </row>
    <row r="94" spans="1:12" hidden="1" x14ac:dyDescent="0.2">
      <c r="A94" s="28"/>
      <c r="B94" s="38"/>
      <c r="C94" s="38"/>
      <c r="D94" s="38"/>
      <c r="E94" s="38"/>
      <c r="F94" s="28"/>
      <c r="G94" s="30"/>
      <c r="H94" s="30"/>
      <c r="I94" s="28"/>
      <c r="J94" s="30"/>
      <c r="L94" s="19"/>
    </row>
    <row r="95" spans="1:12" hidden="1" x14ac:dyDescent="0.2">
      <c r="A95" s="28"/>
      <c r="B95" s="28"/>
      <c r="C95" s="28"/>
      <c r="D95" s="28"/>
      <c r="E95" s="28"/>
      <c r="F95" s="28"/>
      <c r="G95" s="30"/>
      <c r="H95" s="30"/>
      <c r="I95" s="28"/>
      <c r="J95" s="30"/>
      <c r="L95" s="19"/>
    </row>
    <row r="96" spans="1:12" hidden="1" x14ac:dyDescent="0.2">
      <c r="A96" s="28"/>
      <c r="B96" s="28"/>
      <c r="C96" s="28"/>
      <c r="D96" s="28"/>
      <c r="E96" s="28"/>
      <c r="F96" s="28"/>
      <c r="G96" s="30"/>
      <c r="H96" s="30"/>
      <c r="I96" s="28"/>
      <c r="J96" s="30"/>
      <c r="L96" s="19"/>
    </row>
    <row r="97" spans="1:12" hidden="1" x14ac:dyDescent="0.2">
      <c r="A97" s="28"/>
      <c r="B97" s="37"/>
      <c r="C97" s="37"/>
      <c r="D97" s="37"/>
      <c r="E97" s="37"/>
      <c r="F97" s="28"/>
      <c r="G97" s="31"/>
      <c r="H97" s="31"/>
      <c r="I97" s="28"/>
      <c r="J97" s="31"/>
      <c r="L97" s="19"/>
    </row>
    <row r="98" spans="1:12" hidden="1" x14ac:dyDescent="0.2">
      <c r="A98" s="28"/>
      <c r="B98" s="37"/>
      <c r="C98" s="37"/>
      <c r="D98" s="37"/>
      <c r="E98" s="37"/>
      <c r="F98" s="28"/>
      <c r="G98" s="30"/>
      <c r="H98" s="30"/>
      <c r="I98" s="28"/>
      <c r="J98" s="30"/>
      <c r="L98" s="19"/>
    </row>
    <row r="99" spans="1:12" hidden="1" x14ac:dyDescent="0.2">
      <c r="A99" s="28"/>
      <c r="B99" s="28"/>
      <c r="C99" s="28"/>
      <c r="D99" s="28"/>
      <c r="E99" s="28"/>
      <c r="F99" s="28"/>
      <c r="G99" s="69"/>
      <c r="H99" s="69"/>
      <c r="I99" s="28"/>
      <c r="J99" s="69"/>
    </row>
    <row r="100" spans="1:12" hidden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2" hidden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2" hidden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2" hidden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2" hidden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2" hidden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2" hidden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2" hidden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2" hidden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2" hidden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2" hidden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2" hidden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2" hidden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idden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idden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idden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idden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idden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idden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idden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idden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idden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idden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idden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idden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idden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idden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idden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idden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idden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idden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idden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idden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idden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idden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idden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idden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idden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idden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idden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idden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idden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idden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idden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idden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idden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idden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idden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idden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idden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idden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idden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idden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idden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idden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idden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idden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idden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idden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idden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idden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idden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idden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idden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idden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idden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idden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idden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idden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idden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idden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</sheetData>
  <sheetProtection algorithmName="SHA-512" hashValue="H/KABYslOhM2nGd00g3xdaZB7hQtLllN0HCPOz7qy/tcAm8symVNWowBU/BiDnMli0OkBpS9ucyiD3R2hZG4fg==" saltValue="/PwFs48DLEixKlcvtvmZFA==" spinCount="100000" sheet="1" objects="1" scenarios="1"/>
  <autoFilter ref="M1:M170">
    <filterColumn colId="0">
      <customFilters>
        <customFilter operator="notEqual" val=" "/>
      </customFilters>
    </filterColumn>
  </autoFilter>
  <phoneticPr fontId="0" type="noConversion"/>
  <printOptions horizontalCentered="1"/>
  <pageMargins left="0" right="0" top="0.5" bottom="0.2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53"/>
  <sheetViews>
    <sheetView showOutlineSymbols="0" topLeftCell="B1" zoomScaleNormal="100" workbookViewId="0">
      <selection activeCell="B1" sqref="B1"/>
    </sheetView>
  </sheetViews>
  <sheetFormatPr defaultColWidth="9.140625" defaultRowHeight="12.75" customHeight="1" x14ac:dyDescent="0.2"/>
  <cols>
    <col min="1" max="1" width="5.140625" style="34" hidden="1" customWidth="1"/>
    <col min="2" max="2" width="18.42578125" style="28" customWidth="1"/>
    <col min="3" max="3" width="32.28515625" style="28" customWidth="1"/>
    <col min="4" max="4" width="11.5703125" style="48" hidden="1" customWidth="1"/>
    <col min="5" max="5" width="11.28515625" style="48" customWidth="1"/>
    <col min="6" max="6" width="11.42578125" style="48" customWidth="1"/>
    <col min="7" max="7" width="2.7109375" style="148" hidden="1" customWidth="1"/>
    <col min="8" max="9" width="11.85546875" style="48" customWidth="1"/>
    <col min="10" max="10" width="3.140625" style="148" hidden="1" customWidth="1"/>
    <col min="11" max="13" width="15.7109375" style="48" customWidth="1"/>
    <col min="14" max="14" width="9.140625" style="28" hidden="1" customWidth="1"/>
    <col min="15" max="15" width="14" style="28" customWidth="1"/>
    <col min="16" max="16" width="9.140625" style="28"/>
    <col min="17" max="17" width="10.5703125" style="28" bestFit="1" customWidth="1"/>
    <col min="18" max="16384" width="9.140625" style="28"/>
  </cols>
  <sheetData>
    <row r="1" spans="1:14" x14ac:dyDescent="0.2">
      <c r="B1" s="70" t="str">
        <f>Budget!B1</f>
        <v xml:space="preserve"> </v>
      </c>
      <c r="C1" s="70"/>
      <c r="D1" s="152"/>
      <c r="E1" s="153"/>
      <c r="N1" s="28" t="s">
        <v>71</v>
      </c>
    </row>
    <row r="2" spans="1:14" ht="17.25" customHeight="1" x14ac:dyDescent="0.2">
      <c r="B2" s="187" t="s">
        <v>91</v>
      </c>
      <c r="C2" s="187"/>
      <c r="D2" s="187"/>
      <c r="E2" s="187"/>
      <c r="N2" s="28" t="s">
        <v>71</v>
      </c>
    </row>
    <row r="3" spans="1:14" ht="18.75" customHeight="1" x14ac:dyDescent="0.2">
      <c r="B3" s="32"/>
      <c r="C3" s="154"/>
      <c r="D3" s="154"/>
      <c r="E3" s="154"/>
      <c r="N3" s="28" t="s">
        <v>71</v>
      </c>
    </row>
    <row r="4" spans="1:14" ht="18.75" hidden="1" customHeight="1" x14ac:dyDescent="0.2">
      <c r="B4" s="32"/>
      <c r="C4" s="32"/>
      <c r="D4" s="154"/>
      <c r="E4" s="154"/>
      <c r="F4" s="186" t="s">
        <v>22</v>
      </c>
      <c r="G4" s="186"/>
      <c r="H4" s="167" t="s">
        <v>24</v>
      </c>
      <c r="I4" s="186" t="s">
        <v>21</v>
      </c>
      <c r="J4" s="186"/>
      <c r="K4" s="167" t="s">
        <v>29</v>
      </c>
      <c r="N4" s="28" t="s">
        <v>62</v>
      </c>
    </row>
    <row r="5" spans="1:14" ht="13.15" hidden="1" customHeight="1" x14ac:dyDescent="0.2">
      <c r="B5" s="32"/>
      <c r="C5" s="32"/>
      <c r="D5" s="154"/>
      <c r="E5" s="155" t="s">
        <v>23</v>
      </c>
      <c r="F5" s="182">
        <v>7.5200000000000003E-2</v>
      </c>
      <c r="G5" s="182"/>
      <c r="H5" s="168">
        <v>7.6499999999999999E-2</v>
      </c>
      <c r="I5" s="182">
        <v>5.1000000000000004E-3</v>
      </c>
      <c r="J5" s="182"/>
      <c r="K5" s="178">
        <v>2.7E-2</v>
      </c>
      <c r="L5" s="178"/>
      <c r="N5" s="28" t="s">
        <v>62</v>
      </c>
    </row>
    <row r="6" spans="1:14" ht="13.15" hidden="1" customHeight="1" x14ac:dyDescent="0.2">
      <c r="B6" s="32"/>
      <c r="C6" s="32"/>
      <c r="D6" s="154"/>
      <c r="E6" s="155" t="s">
        <v>25</v>
      </c>
      <c r="F6" s="182">
        <f>F5</f>
        <v>7.5200000000000003E-2</v>
      </c>
      <c r="G6" s="182"/>
      <c r="H6" s="168">
        <v>7.6499999999999999E-2</v>
      </c>
      <c r="I6" s="182">
        <v>5.1000000000000004E-3</v>
      </c>
      <c r="J6" s="182"/>
      <c r="K6" s="178">
        <v>0.06</v>
      </c>
      <c r="L6" s="178"/>
      <c r="N6" s="28" t="s">
        <v>62</v>
      </c>
    </row>
    <row r="7" spans="1:14" ht="13.15" hidden="1" customHeight="1" x14ac:dyDescent="0.2">
      <c r="B7" s="32"/>
      <c r="C7" s="32"/>
      <c r="D7" s="154"/>
      <c r="E7" s="155" t="s">
        <v>64</v>
      </c>
      <c r="F7" s="182">
        <f>F6</f>
        <v>7.5200000000000003E-2</v>
      </c>
      <c r="G7" s="182"/>
      <c r="H7" s="168">
        <v>7.6499999999999999E-2</v>
      </c>
      <c r="I7" s="182">
        <v>4.5900000000000003E-2</v>
      </c>
      <c r="J7" s="182"/>
      <c r="K7" s="178">
        <v>0.06</v>
      </c>
      <c r="L7" s="178"/>
      <c r="N7" s="28" t="s">
        <v>62</v>
      </c>
    </row>
    <row r="8" spans="1:14" ht="13.15" hidden="1" customHeight="1" x14ac:dyDescent="0.2">
      <c r="B8" s="32"/>
      <c r="C8" s="32"/>
      <c r="D8" s="154"/>
      <c r="E8" s="155" t="s">
        <v>65</v>
      </c>
      <c r="F8" s="182">
        <f>F7</f>
        <v>7.5200000000000003E-2</v>
      </c>
      <c r="G8" s="182"/>
      <c r="H8" s="168">
        <v>7.6499999999999999E-2</v>
      </c>
      <c r="I8" s="182">
        <v>4.5900000000000003E-2</v>
      </c>
      <c r="J8" s="182"/>
      <c r="K8" s="178">
        <v>0.06</v>
      </c>
      <c r="L8" s="178"/>
      <c r="N8" s="28" t="s">
        <v>62</v>
      </c>
    </row>
    <row r="9" spans="1:14" ht="13.15" hidden="1" customHeight="1" x14ac:dyDescent="0.2">
      <c r="A9" s="40" t="s">
        <v>26</v>
      </c>
      <c r="B9" s="32"/>
      <c r="C9" s="32"/>
      <c r="D9" s="154"/>
      <c r="E9" s="155" t="s">
        <v>66</v>
      </c>
      <c r="F9" s="182">
        <f>F8</f>
        <v>7.5200000000000003E-2</v>
      </c>
      <c r="G9" s="182"/>
      <c r="H9" s="168">
        <v>7.6499999999999999E-2</v>
      </c>
      <c r="I9" s="182">
        <v>4.5900000000000003E-2</v>
      </c>
      <c r="J9" s="182"/>
      <c r="K9" s="178">
        <v>0.06</v>
      </c>
      <c r="L9" s="179"/>
      <c r="N9" s="28" t="s">
        <v>62</v>
      </c>
    </row>
    <row r="10" spans="1:14" ht="13.15" hidden="1" customHeight="1" x14ac:dyDescent="0.2">
      <c r="A10" s="34">
        <v>1</v>
      </c>
      <c r="B10" s="32"/>
      <c r="C10" s="32"/>
      <c r="D10" s="154"/>
      <c r="E10" s="155" t="s">
        <v>67</v>
      </c>
      <c r="F10" s="182">
        <f>F9</f>
        <v>7.5200000000000003E-2</v>
      </c>
      <c r="G10" s="182"/>
      <c r="H10" s="168">
        <v>7.6499999999999999E-2</v>
      </c>
      <c r="I10" s="182">
        <v>5.1000000000000004E-3</v>
      </c>
      <c r="J10" s="182"/>
      <c r="K10" s="178">
        <v>0.06</v>
      </c>
      <c r="L10" s="179"/>
      <c r="N10" s="28" t="s">
        <v>62</v>
      </c>
    </row>
    <row r="11" spans="1:14" ht="14.1" hidden="1" customHeight="1" x14ac:dyDescent="0.2">
      <c r="A11" s="34">
        <v>2</v>
      </c>
      <c r="B11" s="32"/>
      <c r="C11" s="33"/>
      <c r="D11" s="156"/>
      <c r="E11" s="154"/>
      <c r="N11" s="28" t="s">
        <v>62</v>
      </c>
    </row>
    <row r="12" spans="1:14" ht="14.1" hidden="1" customHeight="1" x14ac:dyDescent="0.2">
      <c r="A12" s="34">
        <v>3</v>
      </c>
      <c r="B12" s="32"/>
      <c r="C12" s="32"/>
      <c r="D12" s="154"/>
      <c r="E12" s="154"/>
    </row>
    <row r="13" spans="1:14" s="76" customFormat="1" ht="25.5" x14ac:dyDescent="0.2">
      <c r="A13" s="34">
        <v>4</v>
      </c>
      <c r="B13" s="95" t="s">
        <v>27</v>
      </c>
      <c r="C13" s="95" t="s">
        <v>28</v>
      </c>
      <c r="D13" s="157"/>
      <c r="E13" s="180" t="s">
        <v>165</v>
      </c>
      <c r="F13" s="183" t="s">
        <v>22</v>
      </c>
      <c r="G13" s="184"/>
      <c r="H13" s="169" t="s">
        <v>24</v>
      </c>
      <c r="I13" s="185" t="s">
        <v>60</v>
      </c>
      <c r="J13" s="184"/>
      <c r="K13" s="169" t="s">
        <v>147</v>
      </c>
      <c r="L13" s="169" t="s">
        <v>146</v>
      </c>
      <c r="M13" s="169" t="s">
        <v>171</v>
      </c>
      <c r="N13" s="28" t="s">
        <v>71</v>
      </c>
    </row>
    <row r="14" spans="1:14" ht="14.1" customHeight="1" x14ac:dyDescent="0.2">
      <c r="A14" s="34">
        <v>5</v>
      </c>
      <c r="B14" s="96" t="s">
        <v>14</v>
      </c>
      <c r="C14" s="49" t="s">
        <v>261</v>
      </c>
      <c r="D14" s="158"/>
      <c r="E14" s="158">
        <v>44750</v>
      </c>
      <c r="F14" s="30">
        <f>IF(G14="Y",E14*$F$5," ")*0.5</f>
        <v>1682.6000000000001</v>
      </c>
      <c r="G14" s="142" t="s">
        <v>101</v>
      </c>
      <c r="H14" s="30">
        <f>+$E14*$H$5</f>
        <v>3423.375</v>
      </c>
      <c r="I14" s="30" t="str">
        <f t="shared" ref="I14:I23" si="0">IF(J14="Y",8712.304," ")</f>
        <v xml:space="preserve"> </v>
      </c>
      <c r="J14" s="142" t="s">
        <v>63</v>
      </c>
      <c r="K14" s="30">
        <f>+$E14*$I$5</f>
        <v>228.22500000000002</v>
      </c>
      <c r="L14" s="30">
        <f>IF(E14&gt;7000,7000*$K$5,E14*$K$5)</f>
        <v>189</v>
      </c>
      <c r="M14" s="176">
        <f>SUM(H14:L14,E14:F14)</f>
        <v>50273.2</v>
      </c>
      <c r="N14" s="28" t="str">
        <f t="shared" ref="N14:N19" si="1">IF(M14&gt;0.49,"*","")</f>
        <v>*</v>
      </c>
    </row>
    <row r="15" spans="1:14" ht="14.1" customHeight="1" x14ac:dyDescent="0.2">
      <c r="A15" s="34">
        <v>6</v>
      </c>
      <c r="B15" s="41" t="s">
        <v>14</v>
      </c>
      <c r="C15" s="49" t="s">
        <v>262</v>
      </c>
      <c r="D15" s="158"/>
      <c r="E15" s="158">
        <v>47050</v>
      </c>
      <c r="F15" s="30">
        <f t="shared" ref="F15:F23" si="2">IF(G15="Y",E15*$F$5," ")*0.5</f>
        <v>1769.0800000000002</v>
      </c>
      <c r="G15" s="142" t="s">
        <v>101</v>
      </c>
      <c r="H15" s="30">
        <f t="shared" ref="H15:H23" si="3">+$E15*$H$5</f>
        <v>3599.3249999999998</v>
      </c>
      <c r="I15" s="30" t="str">
        <f t="shared" si="0"/>
        <v xml:space="preserve"> </v>
      </c>
      <c r="J15" s="142" t="s">
        <v>63</v>
      </c>
      <c r="K15" s="30">
        <f t="shared" ref="K15:K23" si="4">+$E15*$I$5</f>
        <v>239.95500000000001</v>
      </c>
      <c r="L15" s="30">
        <f t="shared" ref="L15:L23" si="5">IF(E15&gt;7000,7000*$K$5,E15*$K$5)</f>
        <v>189</v>
      </c>
      <c r="M15" s="176">
        <f t="shared" ref="M15:M23" si="6">SUM(H15:L15,E15:F15)</f>
        <v>52847.360000000001</v>
      </c>
      <c r="N15" s="28" t="str">
        <f>IF(M15&gt;0.49,"*","")</f>
        <v>*</v>
      </c>
    </row>
    <row r="16" spans="1:14" ht="14.1" customHeight="1" x14ac:dyDescent="0.2">
      <c r="A16" s="34">
        <v>6</v>
      </c>
      <c r="B16" s="41" t="s">
        <v>14</v>
      </c>
      <c r="C16" s="49" t="s">
        <v>264</v>
      </c>
      <c r="D16" s="158"/>
      <c r="E16" s="158">
        <v>50096</v>
      </c>
      <c r="F16" s="30">
        <f t="shared" si="2"/>
        <v>1883.6096</v>
      </c>
      <c r="G16" s="142" t="s">
        <v>101</v>
      </c>
      <c r="H16" s="30">
        <f t="shared" si="3"/>
        <v>3832.3440000000001</v>
      </c>
      <c r="I16" s="30">
        <f t="shared" si="0"/>
        <v>8712.3040000000001</v>
      </c>
      <c r="J16" s="142" t="s">
        <v>101</v>
      </c>
      <c r="K16" s="30">
        <f t="shared" si="4"/>
        <v>255.48960000000002</v>
      </c>
      <c r="L16" s="30">
        <f t="shared" si="5"/>
        <v>189</v>
      </c>
      <c r="M16" s="176">
        <f t="shared" si="6"/>
        <v>64968.747200000005</v>
      </c>
      <c r="N16" s="28" t="str">
        <f>IF(M16&gt;0.49,"*","")</f>
        <v>*</v>
      </c>
    </row>
    <row r="17" spans="1:15" ht="14.1" customHeight="1" x14ac:dyDescent="0.2">
      <c r="A17" s="34">
        <v>6</v>
      </c>
      <c r="B17" s="41" t="s">
        <v>14</v>
      </c>
      <c r="C17" s="49" t="s">
        <v>265</v>
      </c>
      <c r="D17" s="158"/>
      <c r="E17" s="158">
        <v>43137</v>
      </c>
      <c r="F17" s="30">
        <f t="shared" si="2"/>
        <v>1621.9512</v>
      </c>
      <c r="G17" s="142" t="s">
        <v>101</v>
      </c>
      <c r="H17" s="30">
        <f t="shared" si="3"/>
        <v>3299.9805000000001</v>
      </c>
      <c r="I17" s="30">
        <f t="shared" si="0"/>
        <v>8712.3040000000001</v>
      </c>
      <c r="J17" s="142" t="s">
        <v>101</v>
      </c>
      <c r="K17" s="30">
        <f t="shared" si="4"/>
        <v>219.99870000000001</v>
      </c>
      <c r="L17" s="30">
        <f t="shared" si="5"/>
        <v>189</v>
      </c>
      <c r="M17" s="176">
        <f t="shared" si="6"/>
        <v>57180.234400000001</v>
      </c>
      <c r="N17" s="28" t="str">
        <f t="shared" si="1"/>
        <v>*</v>
      </c>
    </row>
    <row r="18" spans="1:15" ht="14.1" customHeight="1" x14ac:dyDescent="0.2">
      <c r="A18" s="34">
        <v>7</v>
      </c>
      <c r="B18" s="41" t="s">
        <v>14</v>
      </c>
      <c r="C18" s="49" t="s">
        <v>267</v>
      </c>
      <c r="D18" s="158"/>
      <c r="E18" s="158">
        <v>48592</v>
      </c>
      <c r="F18" s="30">
        <f t="shared" si="2"/>
        <v>1827.0592000000001</v>
      </c>
      <c r="G18" s="142" t="s">
        <v>101</v>
      </c>
      <c r="H18" s="30">
        <f t="shared" si="3"/>
        <v>3717.288</v>
      </c>
      <c r="I18" s="30">
        <f t="shared" si="0"/>
        <v>8712.3040000000001</v>
      </c>
      <c r="J18" s="142" t="s">
        <v>101</v>
      </c>
      <c r="K18" s="30">
        <f t="shared" si="4"/>
        <v>247.81920000000002</v>
      </c>
      <c r="L18" s="30">
        <f t="shared" si="5"/>
        <v>189</v>
      </c>
      <c r="M18" s="176">
        <f t="shared" si="6"/>
        <v>63285.470400000006</v>
      </c>
      <c r="N18" s="28" t="str">
        <f t="shared" si="1"/>
        <v>*</v>
      </c>
    </row>
    <row r="19" spans="1:15" x14ac:dyDescent="0.2">
      <c r="A19" s="34">
        <v>8</v>
      </c>
      <c r="B19" s="41" t="s">
        <v>14</v>
      </c>
      <c r="C19" s="49" t="s">
        <v>268</v>
      </c>
      <c r="D19" s="158"/>
      <c r="E19" s="158">
        <v>49188</v>
      </c>
      <c r="F19" s="30">
        <f t="shared" si="2"/>
        <v>1849.4688000000001</v>
      </c>
      <c r="G19" s="142" t="s">
        <v>101</v>
      </c>
      <c r="H19" s="30">
        <f t="shared" si="3"/>
        <v>3762.8820000000001</v>
      </c>
      <c r="I19" s="30" t="str">
        <f t="shared" si="0"/>
        <v xml:space="preserve"> </v>
      </c>
      <c r="J19" s="142" t="s">
        <v>63</v>
      </c>
      <c r="K19" s="30">
        <f t="shared" si="4"/>
        <v>250.85880000000003</v>
      </c>
      <c r="L19" s="30">
        <f t="shared" si="5"/>
        <v>189</v>
      </c>
      <c r="M19" s="176">
        <f t="shared" si="6"/>
        <v>55240.209600000002</v>
      </c>
      <c r="N19" s="28" t="str">
        <f t="shared" si="1"/>
        <v>*</v>
      </c>
    </row>
    <row r="20" spans="1:15" x14ac:dyDescent="0.2">
      <c r="A20" s="46" t="e">
        <f>+#REF!</f>
        <v>#REF!</v>
      </c>
      <c r="B20" s="41" t="s">
        <v>14</v>
      </c>
      <c r="C20" s="49" t="s">
        <v>273</v>
      </c>
      <c r="D20" s="158"/>
      <c r="E20" s="158">
        <v>41000</v>
      </c>
      <c r="F20" s="30">
        <f t="shared" si="2"/>
        <v>1541.6000000000001</v>
      </c>
      <c r="G20" s="142" t="s">
        <v>101</v>
      </c>
      <c r="H20" s="30">
        <f t="shared" si="3"/>
        <v>3136.5</v>
      </c>
      <c r="I20" s="30">
        <f t="shared" si="0"/>
        <v>8712.3040000000001</v>
      </c>
      <c r="J20" s="142" t="s">
        <v>101</v>
      </c>
      <c r="K20" s="30">
        <f t="shared" si="4"/>
        <v>209.10000000000002</v>
      </c>
      <c r="L20" s="30">
        <f t="shared" si="5"/>
        <v>189</v>
      </c>
      <c r="M20" s="176">
        <f t="shared" si="6"/>
        <v>54788.504000000001</v>
      </c>
      <c r="N20" s="28" t="str">
        <f>IF(M20&gt;0.49,"*","")</f>
        <v>*</v>
      </c>
      <c r="O20" s="35"/>
    </row>
    <row r="21" spans="1:15" x14ac:dyDescent="0.2">
      <c r="A21" s="46" t="e">
        <f>+#REF!</f>
        <v>#REF!</v>
      </c>
      <c r="B21" s="41" t="s">
        <v>14</v>
      </c>
      <c r="C21" s="49" t="s">
        <v>275</v>
      </c>
      <c r="D21" s="158"/>
      <c r="E21" s="158">
        <v>52428</v>
      </c>
      <c r="F21" s="30">
        <f t="shared" si="2"/>
        <v>1971.2928000000002</v>
      </c>
      <c r="G21" s="142" t="s">
        <v>101</v>
      </c>
      <c r="H21" s="30">
        <f t="shared" si="3"/>
        <v>4010.7419999999997</v>
      </c>
      <c r="I21" s="30">
        <f t="shared" si="0"/>
        <v>8712.3040000000001</v>
      </c>
      <c r="J21" s="142" t="s">
        <v>101</v>
      </c>
      <c r="K21" s="30">
        <f t="shared" si="4"/>
        <v>267.38280000000003</v>
      </c>
      <c r="L21" s="30">
        <f t="shared" si="5"/>
        <v>189</v>
      </c>
      <c r="M21" s="176">
        <f t="shared" si="6"/>
        <v>67578.72159999999</v>
      </c>
      <c r="N21" s="28" t="str">
        <f>IF(M21&gt;0.49,"*","")</f>
        <v>*</v>
      </c>
      <c r="O21" s="35"/>
    </row>
    <row r="22" spans="1:15" x14ac:dyDescent="0.2">
      <c r="A22" s="46" t="e">
        <f>+#REF!</f>
        <v>#REF!</v>
      </c>
      <c r="B22" s="41" t="s">
        <v>14</v>
      </c>
      <c r="C22" s="49" t="s">
        <v>277</v>
      </c>
      <c r="D22" s="158"/>
      <c r="E22" s="158">
        <v>45672</v>
      </c>
      <c r="F22" s="30">
        <f t="shared" si="2"/>
        <v>1717.2672</v>
      </c>
      <c r="G22" s="142" t="s">
        <v>101</v>
      </c>
      <c r="H22" s="30">
        <f t="shared" si="3"/>
        <v>3493.9079999999999</v>
      </c>
      <c r="I22" s="30">
        <f t="shared" si="0"/>
        <v>8712.3040000000001</v>
      </c>
      <c r="J22" s="142" t="s">
        <v>101</v>
      </c>
      <c r="K22" s="30">
        <f t="shared" si="4"/>
        <v>232.92720000000003</v>
      </c>
      <c r="L22" s="30">
        <f t="shared" si="5"/>
        <v>189</v>
      </c>
      <c r="M22" s="176">
        <f t="shared" si="6"/>
        <v>60017.4064</v>
      </c>
      <c r="N22" s="28" t="str">
        <f>IF(M22&gt;0.49,"*","")</f>
        <v>*</v>
      </c>
      <c r="O22" s="35"/>
    </row>
    <row r="23" spans="1:15" ht="15" hidden="1" x14ac:dyDescent="0.2">
      <c r="A23" s="47"/>
      <c r="B23" s="41" t="s">
        <v>14</v>
      </c>
      <c r="C23" s="134"/>
      <c r="D23" s="158"/>
      <c r="E23" s="158"/>
      <c r="F23" s="30">
        <f t="shared" si="2"/>
        <v>0</v>
      </c>
      <c r="G23" s="142" t="s">
        <v>101</v>
      </c>
      <c r="H23" s="30">
        <f t="shared" si="3"/>
        <v>0</v>
      </c>
      <c r="I23" s="30" t="str">
        <f t="shared" si="0"/>
        <v xml:space="preserve"> </v>
      </c>
      <c r="J23" s="142" t="s">
        <v>63</v>
      </c>
      <c r="K23" s="30">
        <f t="shared" si="4"/>
        <v>0</v>
      </c>
      <c r="L23" s="30">
        <f t="shared" si="5"/>
        <v>0</v>
      </c>
      <c r="M23" s="176">
        <f t="shared" si="6"/>
        <v>0</v>
      </c>
      <c r="N23" s="28" t="str">
        <f>IF(M23&gt;0.49,"*","")</f>
        <v/>
      </c>
    </row>
    <row r="24" spans="1:15" x14ac:dyDescent="0.2">
      <c r="A24" s="47">
        <v>1</v>
      </c>
      <c r="B24" s="43" t="s">
        <v>0</v>
      </c>
      <c r="C24" s="44" t="s">
        <v>1</v>
      </c>
      <c r="D24" s="35">
        <f>SUM(D14:D23)</f>
        <v>0</v>
      </c>
      <c r="E24" s="161">
        <f>SUM(E14:E23)</f>
        <v>421913</v>
      </c>
      <c r="F24" s="35">
        <f>SUM(F14:F23)</f>
        <v>15863.9288</v>
      </c>
      <c r="G24" s="142"/>
      <c r="H24" s="35">
        <f>SUM(H14:H23)</f>
        <v>32276.344499999999</v>
      </c>
      <c r="I24" s="35">
        <f>SUM(I14:I23)</f>
        <v>52273.824000000008</v>
      </c>
      <c r="J24" s="142"/>
      <c r="K24" s="35">
        <f>SUM(K14:K23)</f>
        <v>2151.7563</v>
      </c>
      <c r="L24" s="35">
        <f>SUM(L14:L23)</f>
        <v>1701</v>
      </c>
      <c r="M24" s="35">
        <f>SUM(M14:M23)</f>
        <v>526179.85360000003</v>
      </c>
      <c r="N24" s="28" t="str">
        <f>IF(M24&gt;0.49,"*","")</f>
        <v>*</v>
      </c>
    </row>
    <row r="25" spans="1:15" ht="14.1" customHeight="1" x14ac:dyDescent="0.2">
      <c r="A25" s="47">
        <v>8</v>
      </c>
      <c r="B25" s="57"/>
      <c r="C25" s="42"/>
      <c r="D25" s="35"/>
      <c r="E25" s="162"/>
      <c r="F25" s="35"/>
      <c r="G25" s="142"/>
      <c r="H25" s="35"/>
      <c r="I25" s="35"/>
      <c r="J25" s="142"/>
      <c r="K25" s="35"/>
      <c r="L25" s="35"/>
      <c r="M25" s="35"/>
      <c r="N25" s="28" t="str">
        <f>IF(N24="*","*","")</f>
        <v>*</v>
      </c>
    </row>
    <row r="26" spans="1:15" ht="14.1" hidden="1" customHeight="1" x14ac:dyDescent="0.2">
      <c r="A26" s="47">
        <v>9</v>
      </c>
      <c r="B26" s="41" t="s">
        <v>68</v>
      </c>
      <c r="C26" s="42"/>
      <c r="D26" s="160"/>
      <c r="E26" s="158">
        <f t="shared" ref="E26:E33" si="7">+D26*24*1.02</f>
        <v>0</v>
      </c>
      <c r="F26" s="30">
        <f t="shared" ref="F26:F34" si="8">IF(G26="Y",E26*$F$5," ")*0.5</f>
        <v>0</v>
      </c>
      <c r="G26" s="142" t="s">
        <v>101</v>
      </c>
      <c r="H26" s="30">
        <f t="shared" ref="H26:H34" si="9">+$E26*$H$5</f>
        <v>0</v>
      </c>
      <c r="I26" s="30"/>
      <c r="J26" s="142"/>
      <c r="K26" s="30">
        <f t="shared" ref="K26:K34" si="10">+$E26*$I$5</f>
        <v>0</v>
      </c>
      <c r="L26" s="30">
        <f t="shared" ref="L26:L34" si="11">IF(E26&gt;7000,7000*$K$5,E26*$K$5)</f>
        <v>0</v>
      </c>
      <c r="M26" s="176">
        <f t="shared" ref="M26:M34" si="12">SUM(H26:L26,E26:F26)</f>
        <v>0</v>
      </c>
      <c r="N26" s="28" t="str">
        <f t="shared" ref="N26:N35" si="13">IF(M26&gt;0.49,"*","")</f>
        <v/>
      </c>
    </row>
    <row r="27" spans="1:15" ht="14.1" hidden="1" customHeight="1" x14ac:dyDescent="0.2">
      <c r="A27" s="47">
        <f>A26</f>
        <v>9</v>
      </c>
      <c r="B27" s="41" t="s">
        <v>68</v>
      </c>
      <c r="C27" s="42"/>
      <c r="D27" s="160"/>
      <c r="E27" s="158">
        <f t="shared" si="7"/>
        <v>0</v>
      </c>
      <c r="F27" s="30">
        <f t="shared" si="8"/>
        <v>0</v>
      </c>
      <c r="G27" s="142" t="s">
        <v>101</v>
      </c>
      <c r="H27" s="30">
        <f t="shared" si="9"/>
        <v>0</v>
      </c>
      <c r="I27" s="30"/>
      <c r="J27" s="142"/>
      <c r="K27" s="30">
        <f t="shared" si="10"/>
        <v>0</v>
      </c>
      <c r="L27" s="30">
        <f t="shared" si="11"/>
        <v>0</v>
      </c>
      <c r="M27" s="176">
        <f t="shared" si="12"/>
        <v>0</v>
      </c>
      <c r="N27" s="28" t="str">
        <f t="shared" si="13"/>
        <v/>
      </c>
    </row>
    <row r="28" spans="1:15" ht="14.1" hidden="1" customHeight="1" x14ac:dyDescent="0.2">
      <c r="A28" s="47"/>
      <c r="B28" s="41" t="s">
        <v>68</v>
      </c>
      <c r="C28" s="58"/>
      <c r="D28" s="160"/>
      <c r="E28" s="158">
        <f t="shared" si="7"/>
        <v>0</v>
      </c>
      <c r="F28" s="30">
        <f t="shared" si="8"/>
        <v>0</v>
      </c>
      <c r="G28" s="142" t="s">
        <v>101</v>
      </c>
      <c r="H28" s="30">
        <f t="shared" si="9"/>
        <v>0</v>
      </c>
      <c r="I28" s="30"/>
      <c r="J28" s="142"/>
      <c r="K28" s="30">
        <f t="shared" si="10"/>
        <v>0</v>
      </c>
      <c r="L28" s="30">
        <f t="shared" si="11"/>
        <v>0</v>
      </c>
      <c r="M28" s="176">
        <f t="shared" si="12"/>
        <v>0</v>
      </c>
      <c r="N28" s="28" t="str">
        <f t="shared" si="13"/>
        <v/>
      </c>
    </row>
    <row r="29" spans="1:15" ht="14.1" hidden="1" customHeight="1" x14ac:dyDescent="0.2">
      <c r="A29" s="47"/>
      <c r="B29" s="41" t="s">
        <v>68</v>
      </c>
      <c r="C29" s="58"/>
      <c r="D29" s="160"/>
      <c r="E29" s="158">
        <f t="shared" si="7"/>
        <v>0</v>
      </c>
      <c r="F29" s="30">
        <f t="shared" si="8"/>
        <v>0</v>
      </c>
      <c r="G29" s="142" t="s">
        <v>101</v>
      </c>
      <c r="H29" s="30">
        <f t="shared" si="9"/>
        <v>0</v>
      </c>
      <c r="I29" s="30"/>
      <c r="J29" s="142"/>
      <c r="K29" s="30">
        <f t="shared" si="10"/>
        <v>0</v>
      </c>
      <c r="L29" s="30">
        <f t="shared" si="11"/>
        <v>0</v>
      </c>
      <c r="M29" s="176">
        <f t="shared" si="12"/>
        <v>0</v>
      </c>
      <c r="N29" s="28" t="str">
        <f t="shared" si="13"/>
        <v/>
      </c>
    </row>
    <row r="30" spans="1:15" ht="14.1" hidden="1" customHeight="1" x14ac:dyDescent="0.2">
      <c r="A30" s="47"/>
      <c r="B30" s="41" t="s">
        <v>68</v>
      </c>
      <c r="C30" s="58"/>
      <c r="D30" s="160"/>
      <c r="E30" s="158">
        <f t="shared" si="7"/>
        <v>0</v>
      </c>
      <c r="F30" s="30">
        <f t="shared" si="8"/>
        <v>0</v>
      </c>
      <c r="G30" s="142" t="s">
        <v>101</v>
      </c>
      <c r="H30" s="30">
        <f t="shared" si="9"/>
        <v>0</v>
      </c>
      <c r="I30" s="30"/>
      <c r="J30" s="142"/>
      <c r="K30" s="30">
        <f t="shared" si="10"/>
        <v>0</v>
      </c>
      <c r="L30" s="30">
        <f t="shared" si="11"/>
        <v>0</v>
      </c>
      <c r="M30" s="176">
        <f t="shared" si="12"/>
        <v>0</v>
      </c>
      <c r="N30" s="28" t="str">
        <f t="shared" si="13"/>
        <v/>
      </c>
    </row>
    <row r="31" spans="1:15" ht="14.1" hidden="1" customHeight="1" x14ac:dyDescent="0.2">
      <c r="A31" s="47"/>
      <c r="B31" s="41" t="s">
        <v>68</v>
      </c>
      <c r="C31" s="58"/>
      <c r="D31" s="160"/>
      <c r="E31" s="158">
        <f t="shared" si="7"/>
        <v>0</v>
      </c>
      <c r="F31" s="30">
        <f t="shared" si="8"/>
        <v>0</v>
      </c>
      <c r="G31" s="142" t="s">
        <v>101</v>
      </c>
      <c r="H31" s="30">
        <f t="shared" si="9"/>
        <v>0</v>
      </c>
      <c r="I31" s="30"/>
      <c r="J31" s="142"/>
      <c r="K31" s="30">
        <f t="shared" si="10"/>
        <v>0</v>
      </c>
      <c r="L31" s="30">
        <f t="shared" si="11"/>
        <v>0</v>
      </c>
      <c r="M31" s="176">
        <f t="shared" si="12"/>
        <v>0</v>
      </c>
      <c r="N31" s="28" t="str">
        <f t="shared" si="13"/>
        <v/>
      </c>
    </row>
    <row r="32" spans="1:15" ht="14.1" hidden="1" customHeight="1" x14ac:dyDescent="0.2">
      <c r="A32" s="47"/>
      <c r="B32" s="41" t="s">
        <v>68</v>
      </c>
      <c r="C32" s="58"/>
      <c r="D32" s="160"/>
      <c r="E32" s="158">
        <f t="shared" si="7"/>
        <v>0</v>
      </c>
      <c r="F32" s="30">
        <f t="shared" si="8"/>
        <v>0</v>
      </c>
      <c r="G32" s="142" t="s">
        <v>101</v>
      </c>
      <c r="H32" s="30">
        <f t="shared" si="9"/>
        <v>0</v>
      </c>
      <c r="I32" s="30"/>
      <c r="J32" s="142"/>
      <c r="K32" s="30">
        <f t="shared" si="10"/>
        <v>0</v>
      </c>
      <c r="L32" s="30">
        <f t="shared" si="11"/>
        <v>0</v>
      </c>
      <c r="M32" s="176">
        <f t="shared" si="12"/>
        <v>0</v>
      </c>
      <c r="N32" s="28" t="str">
        <f t="shared" si="13"/>
        <v/>
      </c>
    </row>
    <row r="33" spans="1:15" ht="14.1" hidden="1" customHeight="1" x14ac:dyDescent="0.2">
      <c r="A33" s="47"/>
      <c r="B33" s="41" t="s">
        <v>68</v>
      </c>
      <c r="C33" s="58"/>
      <c r="D33" s="160"/>
      <c r="E33" s="158">
        <f t="shared" si="7"/>
        <v>0</v>
      </c>
      <c r="F33" s="30">
        <f t="shared" si="8"/>
        <v>0</v>
      </c>
      <c r="G33" s="142" t="s">
        <v>101</v>
      </c>
      <c r="H33" s="30">
        <f t="shared" si="9"/>
        <v>0</v>
      </c>
      <c r="I33" s="30"/>
      <c r="J33" s="142"/>
      <c r="K33" s="30">
        <f t="shared" si="10"/>
        <v>0</v>
      </c>
      <c r="L33" s="30">
        <f t="shared" si="11"/>
        <v>0</v>
      </c>
      <c r="M33" s="176">
        <f t="shared" si="12"/>
        <v>0</v>
      </c>
      <c r="N33" s="28" t="str">
        <f t="shared" si="13"/>
        <v/>
      </c>
    </row>
    <row r="34" spans="1:15" ht="14.1" hidden="1" customHeight="1" x14ac:dyDescent="0.2">
      <c r="A34" s="47">
        <v>1</v>
      </c>
      <c r="B34" s="41" t="s">
        <v>68</v>
      </c>
      <c r="C34" s="58"/>
      <c r="D34" s="160"/>
      <c r="E34" s="158">
        <f>+D34*24*1.02</f>
        <v>0</v>
      </c>
      <c r="F34" s="30">
        <f t="shared" si="8"/>
        <v>0</v>
      </c>
      <c r="G34" s="142" t="s">
        <v>101</v>
      </c>
      <c r="H34" s="30">
        <f t="shared" si="9"/>
        <v>0</v>
      </c>
      <c r="I34" s="30"/>
      <c r="J34" s="142"/>
      <c r="K34" s="30">
        <f t="shared" si="10"/>
        <v>0</v>
      </c>
      <c r="L34" s="30">
        <f t="shared" si="11"/>
        <v>0</v>
      </c>
      <c r="M34" s="176">
        <f t="shared" si="12"/>
        <v>0</v>
      </c>
      <c r="N34" s="28" t="str">
        <f t="shared" si="13"/>
        <v/>
      </c>
    </row>
    <row r="35" spans="1:15" ht="14.1" hidden="1" customHeight="1" x14ac:dyDescent="0.2">
      <c r="A35" s="47">
        <f>+A34</f>
        <v>1</v>
      </c>
      <c r="B35" s="63" t="s">
        <v>77</v>
      </c>
      <c r="C35" s="44" t="s">
        <v>69</v>
      </c>
      <c r="D35" s="35">
        <f>SUM(D26:D34)</f>
        <v>0</v>
      </c>
      <c r="E35" s="162">
        <f>SUM(E26:E34)</f>
        <v>0</v>
      </c>
      <c r="F35" s="35">
        <f>SUM(F26:F34)</f>
        <v>0</v>
      </c>
      <c r="G35" s="142"/>
      <c r="H35" s="35">
        <f>SUM(H26:H34)</f>
        <v>0</v>
      </c>
      <c r="I35" s="35"/>
      <c r="J35" s="142"/>
      <c r="K35" s="35">
        <f>SUM(K26:K34)</f>
        <v>0</v>
      </c>
      <c r="L35" s="35">
        <f>SUM(L26:L34)</f>
        <v>0</v>
      </c>
      <c r="M35" s="35">
        <f>SUM(M26:M34)</f>
        <v>0</v>
      </c>
      <c r="N35" s="28" t="str">
        <f t="shared" si="13"/>
        <v/>
      </c>
    </row>
    <row r="36" spans="1:15" ht="14.1" hidden="1" customHeight="1" x14ac:dyDescent="0.2">
      <c r="A36" s="50"/>
      <c r="B36" s="67"/>
      <c r="C36" s="48"/>
      <c r="D36" s="30"/>
      <c r="E36" s="158"/>
      <c r="F36" s="176"/>
      <c r="G36" s="142"/>
      <c r="J36" s="142"/>
      <c r="N36" s="28" t="str">
        <f>IF(N35="*","*","")</f>
        <v/>
      </c>
    </row>
    <row r="37" spans="1:15" ht="13.15" customHeight="1" x14ac:dyDescent="0.2">
      <c r="A37" s="45"/>
      <c r="B37" s="41" t="s">
        <v>17</v>
      </c>
      <c r="C37" s="49" t="s">
        <v>271</v>
      </c>
      <c r="D37" s="158"/>
      <c r="E37" s="158">
        <v>42560</v>
      </c>
      <c r="F37" s="30">
        <f t="shared" ref="F37:F42" si="14">IF(G37="Y",E37*$F$5," ")*0.5</f>
        <v>1600.2560000000001</v>
      </c>
      <c r="G37" s="142" t="s">
        <v>101</v>
      </c>
      <c r="H37" s="30">
        <f t="shared" ref="H37:H42" si="15">+$E37*$H$5</f>
        <v>3255.84</v>
      </c>
      <c r="I37" s="30">
        <f t="shared" ref="I37:I42" si="16">IF(J37="Y",8712.304," ")</f>
        <v>8712.3040000000001</v>
      </c>
      <c r="J37" s="142" t="s">
        <v>101</v>
      </c>
      <c r="K37" s="30">
        <f t="shared" ref="K37:K42" si="17">+$E37*$I$5</f>
        <v>217.05600000000001</v>
      </c>
      <c r="L37" s="30">
        <f t="shared" ref="L37:L42" si="18">IF(E37&gt;7000,7000*$K$5,E37*$K$5)</f>
        <v>189</v>
      </c>
      <c r="M37" s="176">
        <f t="shared" ref="M37:M42" si="19">SUM(H37:L37,E37:F37)</f>
        <v>56534.455999999998</v>
      </c>
      <c r="N37" s="28" t="str">
        <f t="shared" ref="N37:N43" si="20">IF(M37&gt;0.49,"*","")</f>
        <v>*</v>
      </c>
    </row>
    <row r="38" spans="1:15" ht="14.1" customHeight="1" x14ac:dyDescent="0.2">
      <c r="A38" s="45">
        <v>1</v>
      </c>
      <c r="B38" s="41" t="s">
        <v>17</v>
      </c>
      <c r="C38" s="49" t="s">
        <v>272</v>
      </c>
      <c r="D38" s="158"/>
      <c r="E38" s="158">
        <v>45597</v>
      </c>
      <c r="F38" s="30">
        <f t="shared" si="14"/>
        <v>1714.4472000000001</v>
      </c>
      <c r="G38" s="142" t="s">
        <v>101</v>
      </c>
      <c r="H38" s="30">
        <f t="shared" si="15"/>
        <v>3488.1704999999997</v>
      </c>
      <c r="I38" s="30">
        <f t="shared" si="16"/>
        <v>8712.3040000000001</v>
      </c>
      <c r="J38" s="142" t="s">
        <v>101</v>
      </c>
      <c r="K38" s="30">
        <f t="shared" si="17"/>
        <v>232.54470000000001</v>
      </c>
      <c r="L38" s="30">
        <f t="shared" si="18"/>
        <v>189</v>
      </c>
      <c r="M38" s="176">
        <f t="shared" si="19"/>
        <v>59933.466400000005</v>
      </c>
      <c r="N38" s="28" t="str">
        <f t="shared" si="20"/>
        <v>*</v>
      </c>
    </row>
    <row r="39" spans="1:15" ht="14.1" customHeight="1" x14ac:dyDescent="0.2">
      <c r="A39" s="45">
        <v>1</v>
      </c>
      <c r="B39" s="41" t="s">
        <v>17</v>
      </c>
      <c r="C39" s="49" t="s">
        <v>278</v>
      </c>
      <c r="D39" s="158"/>
      <c r="E39" s="158">
        <v>45545</v>
      </c>
      <c r="F39" s="30">
        <f t="shared" si="14"/>
        <v>1712.492</v>
      </c>
      <c r="G39" s="142" t="s">
        <v>101</v>
      </c>
      <c r="H39" s="30">
        <f t="shared" si="15"/>
        <v>3484.1925000000001</v>
      </c>
      <c r="I39" s="30">
        <f t="shared" si="16"/>
        <v>8712.3040000000001</v>
      </c>
      <c r="J39" s="142" t="s">
        <v>101</v>
      </c>
      <c r="K39" s="30">
        <f t="shared" si="17"/>
        <v>232.27950000000001</v>
      </c>
      <c r="L39" s="30">
        <f t="shared" si="18"/>
        <v>189</v>
      </c>
      <c r="M39" s="176">
        <f t="shared" si="19"/>
        <v>59875.267999999996</v>
      </c>
      <c r="N39" s="28" t="str">
        <f t="shared" si="20"/>
        <v>*</v>
      </c>
    </row>
    <row r="40" spans="1:15" ht="14.1" customHeight="1" x14ac:dyDescent="0.2">
      <c r="A40" s="45">
        <v>1</v>
      </c>
      <c r="B40" s="41" t="s">
        <v>17</v>
      </c>
      <c r="C40" s="49" t="s">
        <v>281</v>
      </c>
      <c r="D40" s="158"/>
      <c r="E40" s="158">
        <v>53677</v>
      </c>
      <c r="F40" s="30">
        <f t="shared" si="14"/>
        <v>2018.2552000000001</v>
      </c>
      <c r="G40" s="142" t="s">
        <v>101</v>
      </c>
      <c r="H40" s="30">
        <f t="shared" si="15"/>
        <v>4106.2905000000001</v>
      </c>
      <c r="I40" s="30" t="str">
        <f t="shared" si="16"/>
        <v xml:space="preserve"> </v>
      </c>
      <c r="J40" s="142" t="s">
        <v>63</v>
      </c>
      <c r="K40" s="30">
        <f t="shared" si="17"/>
        <v>273.7527</v>
      </c>
      <c r="L40" s="30">
        <f t="shared" si="18"/>
        <v>189</v>
      </c>
      <c r="M40" s="176">
        <f t="shared" si="19"/>
        <v>60264.2984</v>
      </c>
      <c r="N40" s="28" t="str">
        <f t="shared" si="20"/>
        <v>*</v>
      </c>
    </row>
    <row r="41" spans="1:15" ht="14.1" customHeight="1" x14ac:dyDescent="0.2">
      <c r="A41" s="45">
        <v>1</v>
      </c>
      <c r="B41" s="41" t="s">
        <v>17</v>
      </c>
      <c r="C41" s="49" t="s">
        <v>303</v>
      </c>
      <c r="D41" s="158"/>
      <c r="E41" s="158">
        <f>+AVERAGE(E37:E40)</f>
        <v>46844.75</v>
      </c>
      <c r="F41" s="30">
        <f>IF(G41="Y",E41*$F$5," ")*0.5</f>
        <v>1761.3626000000002</v>
      </c>
      <c r="G41" s="142" t="s">
        <v>101</v>
      </c>
      <c r="H41" s="30">
        <f t="shared" si="15"/>
        <v>3583.6233750000001</v>
      </c>
      <c r="I41" s="30">
        <f t="shared" si="16"/>
        <v>8712.3040000000001</v>
      </c>
      <c r="J41" s="142" t="s">
        <v>101</v>
      </c>
      <c r="K41" s="30">
        <f t="shared" si="17"/>
        <v>238.90822500000002</v>
      </c>
      <c r="L41" s="30">
        <f t="shared" si="18"/>
        <v>189</v>
      </c>
      <c r="M41" s="176">
        <f t="shared" si="19"/>
        <v>61329.948199999999</v>
      </c>
      <c r="N41" s="28" t="str">
        <f>IF(M41&gt;0.49,"*","")</f>
        <v>*</v>
      </c>
    </row>
    <row r="42" spans="1:15" ht="13.15" hidden="1" customHeight="1" x14ac:dyDescent="0.2">
      <c r="A42" s="46">
        <f>+A41</f>
        <v>1</v>
      </c>
      <c r="B42" s="41" t="s">
        <v>17</v>
      </c>
      <c r="C42" s="42"/>
      <c r="D42" s="158"/>
      <c r="E42" s="158">
        <f t="shared" ref="E42" si="21">+D42*24*1.02</f>
        <v>0</v>
      </c>
      <c r="F42" s="30">
        <f t="shared" si="14"/>
        <v>0</v>
      </c>
      <c r="G42" s="142" t="s">
        <v>101</v>
      </c>
      <c r="H42" s="30">
        <f t="shared" si="15"/>
        <v>0</v>
      </c>
      <c r="I42" s="30" t="str">
        <f t="shared" si="16"/>
        <v xml:space="preserve"> </v>
      </c>
      <c r="J42" s="142" t="s">
        <v>63</v>
      </c>
      <c r="K42" s="30">
        <f t="shared" si="17"/>
        <v>0</v>
      </c>
      <c r="L42" s="30">
        <f t="shared" si="18"/>
        <v>0</v>
      </c>
      <c r="M42" s="176">
        <f t="shared" si="19"/>
        <v>0</v>
      </c>
      <c r="N42" s="28" t="str">
        <f t="shared" si="20"/>
        <v/>
      </c>
    </row>
    <row r="43" spans="1:15" ht="14.1" customHeight="1" x14ac:dyDescent="0.2">
      <c r="A43" s="36" t="e">
        <f>SUM(A42:A42,A70:A70,A66:A66,A62,A60:A60,A55,A35:A35,A27:A27,#REF!,#REF!)</f>
        <v>#REF!</v>
      </c>
      <c r="B43" s="43" t="s">
        <v>3</v>
      </c>
      <c r="C43" s="44" t="s">
        <v>4</v>
      </c>
      <c r="D43" s="35">
        <f>SUM(D37:D42)</f>
        <v>0</v>
      </c>
      <c r="E43" s="161">
        <f>SUM(E37:E42)</f>
        <v>234223.75</v>
      </c>
      <c r="F43" s="35">
        <f t="shared" ref="F43:M43" si="22">SUM(F37:F42)</f>
        <v>8806.8130000000001</v>
      </c>
      <c r="G43" s="142"/>
      <c r="H43" s="35">
        <f>SUM(H37:H42)</f>
        <v>17918.116875</v>
      </c>
      <c r="I43" s="35">
        <f>SUM(I37:I42)</f>
        <v>34849.216</v>
      </c>
      <c r="J43" s="142"/>
      <c r="K43" s="35">
        <f t="shared" si="22"/>
        <v>1194.5411250000002</v>
      </c>
      <c r="L43" s="35">
        <f t="shared" si="22"/>
        <v>945</v>
      </c>
      <c r="M43" s="35">
        <f t="shared" si="22"/>
        <v>297937.43700000003</v>
      </c>
      <c r="N43" s="28" t="str">
        <f t="shared" si="20"/>
        <v>*</v>
      </c>
    </row>
    <row r="44" spans="1:15" ht="14.1" customHeight="1" x14ac:dyDescent="0.2">
      <c r="A44" s="50" t="e">
        <f>+A43</f>
        <v>#REF!</v>
      </c>
      <c r="B44" s="66"/>
      <c r="C44" s="48"/>
      <c r="D44" s="30"/>
      <c r="E44" s="163"/>
      <c r="F44" s="176"/>
      <c r="G44" s="142"/>
      <c r="J44" s="142"/>
      <c r="N44" s="28" t="str">
        <f>IF(N43="*","*","")</f>
        <v>*</v>
      </c>
    </row>
    <row r="45" spans="1:15" ht="12.75" customHeight="1" x14ac:dyDescent="0.2">
      <c r="A45" s="45"/>
      <c r="B45" s="41" t="s">
        <v>95</v>
      </c>
      <c r="C45" s="49" t="s">
        <v>263</v>
      </c>
      <c r="D45" s="158"/>
      <c r="E45" s="158">
        <v>30628</v>
      </c>
      <c r="F45" s="30">
        <f t="shared" ref="F45:F50" si="23">IF(G45="Y",E45*$F$5," ")*0.5</f>
        <v>1151.6128000000001</v>
      </c>
      <c r="G45" s="142" t="s">
        <v>101</v>
      </c>
      <c r="H45" s="30">
        <f t="shared" ref="H45:H50" si="24">+$E45*$H$5</f>
        <v>2343.0419999999999</v>
      </c>
      <c r="I45" s="30">
        <f t="shared" ref="I45:I50" si="25">IF(J45="Y",8712.304," ")</f>
        <v>8712.3040000000001</v>
      </c>
      <c r="J45" s="142" t="s">
        <v>101</v>
      </c>
      <c r="K45" s="30">
        <f t="shared" ref="K45:K50" si="26">+$E45*$I$5</f>
        <v>156.20280000000002</v>
      </c>
      <c r="L45" s="30">
        <f t="shared" ref="L45:L50" si="27">IF(E45&gt;7000,7000*$K$5,E45*$K$5)</f>
        <v>189</v>
      </c>
      <c r="M45" s="176">
        <f t="shared" ref="M45:M50" si="28">SUM(H45:L45,E45:F45)</f>
        <v>43180.161600000007</v>
      </c>
      <c r="N45" s="28" t="str">
        <f t="shared" ref="N45:N51" si="29">IF(M45&gt;0.49,"*","")</f>
        <v>*</v>
      </c>
      <c r="O45" s="48"/>
    </row>
    <row r="46" spans="1:15" ht="12.75" customHeight="1" x14ac:dyDescent="0.2">
      <c r="A46" s="45">
        <v>1</v>
      </c>
      <c r="B46" s="41" t="s">
        <v>95</v>
      </c>
      <c r="C46" s="49" t="s">
        <v>282</v>
      </c>
      <c r="D46" s="158"/>
      <c r="E46" s="158">
        <v>13125</v>
      </c>
      <c r="F46" s="30">
        <f t="shared" si="23"/>
        <v>493.5</v>
      </c>
      <c r="G46" s="142" t="s">
        <v>101</v>
      </c>
      <c r="H46" s="30">
        <f t="shared" si="24"/>
        <v>1004.0625</v>
      </c>
      <c r="I46" s="30" t="str">
        <f t="shared" si="25"/>
        <v xml:space="preserve"> </v>
      </c>
      <c r="J46" s="142" t="s">
        <v>63</v>
      </c>
      <c r="K46" s="30">
        <f t="shared" si="26"/>
        <v>66.9375</v>
      </c>
      <c r="L46" s="30">
        <f t="shared" si="27"/>
        <v>189</v>
      </c>
      <c r="M46" s="176">
        <f>SUM(H46:L46,E46:F46)</f>
        <v>14878.5</v>
      </c>
      <c r="N46" s="28" t="str">
        <f t="shared" si="29"/>
        <v>*</v>
      </c>
    </row>
    <row r="47" spans="1:15" ht="12.75" hidden="1" customHeight="1" x14ac:dyDescent="0.2">
      <c r="A47" s="45">
        <v>1</v>
      </c>
      <c r="B47" s="41" t="s">
        <v>95</v>
      </c>
      <c r="C47" s="42"/>
      <c r="D47" s="158"/>
      <c r="E47" s="158">
        <f t="shared" ref="E47:E50" si="30">+D47*24*1.02</f>
        <v>0</v>
      </c>
      <c r="F47" s="30">
        <f t="shared" si="23"/>
        <v>0</v>
      </c>
      <c r="G47" s="142" t="s">
        <v>101</v>
      </c>
      <c r="H47" s="30">
        <f t="shared" si="24"/>
        <v>0</v>
      </c>
      <c r="I47" s="30" t="str">
        <f t="shared" si="25"/>
        <v xml:space="preserve"> </v>
      </c>
      <c r="J47" s="142" t="s">
        <v>63</v>
      </c>
      <c r="K47" s="30">
        <f t="shared" si="26"/>
        <v>0</v>
      </c>
      <c r="L47" s="30">
        <f t="shared" si="27"/>
        <v>0</v>
      </c>
      <c r="M47" s="176">
        <f t="shared" si="28"/>
        <v>0</v>
      </c>
      <c r="N47" s="28" t="str">
        <f t="shared" si="29"/>
        <v/>
      </c>
    </row>
    <row r="48" spans="1:15" ht="12.75" hidden="1" customHeight="1" x14ac:dyDescent="0.2">
      <c r="A48" s="45">
        <v>1</v>
      </c>
      <c r="B48" s="41" t="s">
        <v>95</v>
      </c>
      <c r="C48" s="42"/>
      <c r="D48" s="158"/>
      <c r="E48" s="158">
        <f t="shared" si="30"/>
        <v>0</v>
      </c>
      <c r="F48" s="30">
        <f t="shared" si="23"/>
        <v>0</v>
      </c>
      <c r="G48" s="142" t="s">
        <v>101</v>
      </c>
      <c r="H48" s="30">
        <f t="shared" si="24"/>
        <v>0</v>
      </c>
      <c r="I48" s="30" t="str">
        <f t="shared" si="25"/>
        <v xml:space="preserve"> </v>
      </c>
      <c r="J48" s="142" t="s">
        <v>63</v>
      </c>
      <c r="K48" s="30">
        <f t="shared" si="26"/>
        <v>0</v>
      </c>
      <c r="L48" s="30">
        <f t="shared" si="27"/>
        <v>0</v>
      </c>
      <c r="M48" s="176">
        <f t="shared" si="28"/>
        <v>0</v>
      </c>
      <c r="N48" s="28" t="str">
        <f t="shared" si="29"/>
        <v/>
      </c>
    </row>
    <row r="49" spans="1:15" ht="12.75" hidden="1" customHeight="1" x14ac:dyDescent="0.2">
      <c r="A49" s="46">
        <f>+A48</f>
        <v>1</v>
      </c>
      <c r="B49" s="41" t="s">
        <v>95</v>
      </c>
      <c r="C49" s="42"/>
      <c r="D49" s="158"/>
      <c r="E49" s="158">
        <f t="shared" si="30"/>
        <v>0</v>
      </c>
      <c r="F49" s="30">
        <f t="shared" si="23"/>
        <v>0</v>
      </c>
      <c r="G49" s="142" t="s">
        <v>101</v>
      </c>
      <c r="H49" s="30">
        <f t="shared" si="24"/>
        <v>0</v>
      </c>
      <c r="I49" s="30" t="str">
        <f t="shared" si="25"/>
        <v xml:space="preserve"> </v>
      </c>
      <c r="J49" s="142" t="s">
        <v>63</v>
      </c>
      <c r="K49" s="30">
        <f t="shared" si="26"/>
        <v>0</v>
      </c>
      <c r="L49" s="30">
        <f t="shared" si="27"/>
        <v>0</v>
      </c>
      <c r="M49" s="176">
        <f t="shared" si="28"/>
        <v>0</v>
      </c>
      <c r="N49" s="28" t="str">
        <f t="shared" si="29"/>
        <v/>
      </c>
    </row>
    <row r="50" spans="1:15" ht="12.75" hidden="1" customHeight="1" x14ac:dyDescent="0.2">
      <c r="A50" s="46">
        <f>+A49</f>
        <v>1</v>
      </c>
      <c r="B50" s="41" t="s">
        <v>95</v>
      </c>
      <c r="C50" s="42"/>
      <c r="D50" s="158"/>
      <c r="E50" s="158">
        <f t="shared" si="30"/>
        <v>0</v>
      </c>
      <c r="F50" s="30">
        <f t="shared" si="23"/>
        <v>0</v>
      </c>
      <c r="G50" s="142" t="s">
        <v>101</v>
      </c>
      <c r="H50" s="30">
        <f t="shared" si="24"/>
        <v>0</v>
      </c>
      <c r="I50" s="30" t="str">
        <f t="shared" si="25"/>
        <v xml:space="preserve"> </v>
      </c>
      <c r="J50" s="142" t="s">
        <v>63</v>
      </c>
      <c r="K50" s="30">
        <f t="shared" si="26"/>
        <v>0</v>
      </c>
      <c r="L50" s="30">
        <f t="shared" si="27"/>
        <v>0</v>
      </c>
      <c r="M50" s="176">
        <f t="shared" si="28"/>
        <v>0</v>
      </c>
      <c r="N50" s="28" t="str">
        <f t="shared" si="29"/>
        <v/>
      </c>
    </row>
    <row r="51" spans="1:15" ht="12.75" customHeight="1" x14ac:dyDescent="0.2">
      <c r="A51" s="36" t="e">
        <f>SUM(A50:A50,A44:A44,A40:A40,A67,#REF!,A63,A59:A59,A30:A30,A22:A22,#REF!)</f>
        <v>#REF!</v>
      </c>
      <c r="B51" s="63" t="s">
        <v>96</v>
      </c>
      <c r="C51" s="44" t="s">
        <v>97</v>
      </c>
      <c r="D51" s="35">
        <f>SUM(D45:D50)</f>
        <v>0</v>
      </c>
      <c r="E51" s="161">
        <f>SUM(E45:E50)</f>
        <v>43753</v>
      </c>
      <c r="F51" s="35">
        <f>SUM(F45:F50)</f>
        <v>1645.1128000000001</v>
      </c>
      <c r="G51" s="142"/>
      <c r="H51" s="35">
        <f>SUM(H45:H50)</f>
        <v>3347.1044999999999</v>
      </c>
      <c r="I51" s="35">
        <f>SUM(I45:I50)</f>
        <v>8712.3040000000001</v>
      </c>
      <c r="J51" s="142"/>
      <c r="K51" s="35">
        <f>SUM(K45:K50)</f>
        <v>223.14030000000002</v>
      </c>
      <c r="L51" s="35">
        <f>SUM(L45:L50)</f>
        <v>378</v>
      </c>
      <c r="M51" s="35">
        <f>SUM(M45:M50)</f>
        <v>58058.661600000007</v>
      </c>
      <c r="N51" s="28" t="str">
        <f t="shared" si="29"/>
        <v>*</v>
      </c>
    </row>
    <row r="52" spans="1:15" ht="12.75" customHeight="1" x14ac:dyDescent="0.2">
      <c r="A52" s="65"/>
      <c r="B52" s="57"/>
      <c r="C52" s="57"/>
      <c r="D52" s="35"/>
      <c r="E52" s="162"/>
      <c r="F52" s="35"/>
      <c r="G52" s="142"/>
      <c r="H52" s="35"/>
      <c r="I52" s="35"/>
      <c r="J52" s="142"/>
      <c r="K52" s="35"/>
      <c r="L52" s="35"/>
      <c r="M52" s="35"/>
      <c r="N52" s="28" t="str">
        <f>N51</f>
        <v>*</v>
      </c>
    </row>
    <row r="53" spans="1:15" ht="14.1" hidden="1" customHeight="1" x14ac:dyDescent="0.2">
      <c r="A53" s="50">
        <v>1</v>
      </c>
      <c r="B53" s="41" t="s">
        <v>155</v>
      </c>
      <c r="C53" s="49"/>
      <c r="D53" s="160"/>
      <c r="E53" s="158">
        <f t="shared" ref="E53:E68" si="31">+D53*24*1.02</f>
        <v>0</v>
      </c>
      <c r="F53" s="30">
        <f t="shared" ref="F53:F68" si="32">IF(G53="Y",E53*$F$5," ")*0.5</f>
        <v>0</v>
      </c>
      <c r="G53" s="142" t="s">
        <v>101</v>
      </c>
      <c r="H53" s="30">
        <f>+$E53*$H$5</f>
        <v>0</v>
      </c>
      <c r="I53" s="30" t="str">
        <f t="shared" ref="I53:I68" si="33">IF(J53="Y",8712.304," ")</f>
        <v xml:space="preserve"> </v>
      </c>
      <c r="J53" s="142" t="s">
        <v>63</v>
      </c>
      <c r="K53" s="30">
        <f t="shared" ref="K53:K68" si="34">+$E53*$I$5</f>
        <v>0</v>
      </c>
      <c r="L53" s="30">
        <f t="shared" ref="L53:L68" si="35">IF(E53&gt;7000,7000*$K$5,E53*$K$5)</f>
        <v>0</v>
      </c>
      <c r="M53" s="176">
        <f>SUM(H53:L53,E53:F53)</f>
        <v>0</v>
      </c>
      <c r="N53" s="28" t="str">
        <f t="shared" ref="N53:N69" si="36">IF(M53&gt;0.49,"*","")</f>
        <v/>
      </c>
    </row>
    <row r="54" spans="1:15" ht="14.1" hidden="1" customHeight="1" x14ac:dyDescent="0.2">
      <c r="A54" s="50"/>
      <c r="B54" s="41" t="s">
        <v>155</v>
      </c>
      <c r="C54" s="49"/>
      <c r="D54" s="159"/>
      <c r="E54" s="158">
        <f t="shared" si="31"/>
        <v>0</v>
      </c>
      <c r="F54" s="30">
        <f t="shared" si="32"/>
        <v>0</v>
      </c>
      <c r="G54" s="142" t="s">
        <v>101</v>
      </c>
      <c r="H54" s="30">
        <f t="shared" ref="H54:H68" si="37">+$E54*$H$5</f>
        <v>0</v>
      </c>
      <c r="I54" s="30" t="str">
        <f t="shared" si="33"/>
        <v xml:space="preserve"> </v>
      </c>
      <c r="J54" s="142" t="s">
        <v>63</v>
      </c>
      <c r="K54" s="30">
        <f t="shared" si="34"/>
        <v>0</v>
      </c>
      <c r="L54" s="30">
        <f t="shared" si="35"/>
        <v>0</v>
      </c>
      <c r="M54" s="176">
        <f t="shared" ref="M54:M68" si="38">SUM(H54:L54,E54:F54)</f>
        <v>0</v>
      </c>
      <c r="N54" s="28" t="str">
        <f t="shared" si="36"/>
        <v/>
      </c>
    </row>
    <row r="55" spans="1:15" ht="14.1" hidden="1" customHeight="1" x14ac:dyDescent="0.2">
      <c r="A55" s="50" t="e">
        <f>+#REF!</f>
        <v>#REF!</v>
      </c>
      <c r="B55" s="41" t="s">
        <v>155</v>
      </c>
      <c r="C55" s="49"/>
      <c r="D55" s="159"/>
      <c r="E55" s="158">
        <f t="shared" si="31"/>
        <v>0</v>
      </c>
      <c r="F55" s="30">
        <f t="shared" si="32"/>
        <v>0</v>
      </c>
      <c r="G55" s="142" t="s">
        <v>101</v>
      </c>
      <c r="H55" s="30">
        <f t="shared" si="37"/>
        <v>0</v>
      </c>
      <c r="I55" s="30" t="str">
        <f t="shared" si="33"/>
        <v xml:space="preserve"> </v>
      </c>
      <c r="J55" s="142" t="s">
        <v>63</v>
      </c>
      <c r="K55" s="30">
        <f t="shared" si="34"/>
        <v>0</v>
      </c>
      <c r="L55" s="30">
        <f t="shared" si="35"/>
        <v>0</v>
      </c>
      <c r="M55" s="176">
        <f t="shared" si="38"/>
        <v>0</v>
      </c>
      <c r="N55" s="28" t="str">
        <f t="shared" si="36"/>
        <v/>
      </c>
    </row>
    <row r="56" spans="1:15" ht="14.1" hidden="1" customHeight="1" x14ac:dyDescent="0.2">
      <c r="A56" s="47"/>
      <c r="B56" s="41" t="s">
        <v>155</v>
      </c>
      <c r="C56" s="49"/>
      <c r="D56" s="160"/>
      <c r="E56" s="158">
        <f t="shared" si="31"/>
        <v>0</v>
      </c>
      <c r="F56" s="30">
        <f t="shared" si="32"/>
        <v>0</v>
      </c>
      <c r="G56" s="142" t="s">
        <v>101</v>
      </c>
      <c r="H56" s="30">
        <f t="shared" si="37"/>
        <v>0</v>
      </c>
      <c r="I56" s="30" t="str">
        <f t="shared" si="33"/>
        <v xml:space="preserve"> </v>
      </c>
      <c r="J56" s="142" t="s">
        <v>63</v>
      </c>
      <c r="K56" s="30">
        <f t="shared" si="34"/>
        <v>0</v>
      </c>
      <c r="L56" s="30">
        <f t="shared" si="35"/>
        <v>0</v>
      </c>
      <c r="M56" s="176">
        <f t="shared" si="38"/>
        <v>0</v>
      </c>
      <c r="N56" s="28" t="str">
        <f t="shared" si="36"/>
        <v/>
      </c>
    </row>
    <row r="57" spans="1:15" ht="14.1" hidden="1" customHeight="1" x14ac:dyDescent="0.2">
      <c r="A57" s="47">
        <v>1</v>
      </c>
      <c r="B57" s="41" t="s">
        <v>155</v>
      </c>
      <c r="C57" s="49"/>
      <c r="D57" s="160"/>
      <c r="E57" s="158">
        <f t="shared" si="31"/>
        <v>0</v>
      </c>
      <c r="F57" s="30">
        <f t="shared" si="32"/>
        <v>0</v>
      </c>
      <c r="G57" s="142" t="s">
        <v>101</v>
      </c>
      <c r="H57" s="30">
        <f t="shared" si="37"/>
        <v>0</v>
      </c>
      <c r="I57" s="30" t="str">
        <f t="shared" si="33"/>
        <v xml:space="preserve"> </v>
      </c>
      <c r="J57" s="142" t="s">
        <v>63</v>
      </c>
      <c r="K57" s="30">
        <f t="shared" si="34"/>
        <v>0</v>
      </c>
      <c r="L57" s="30">
        <f t="shared" si="35"/>
        <v>0</v>
      </c>
      <c r="M57" s="176">
        <f t="shared" si="38"/>
        <v>0</v>
      </c>
      <c r="N57" s="28" t="str">
        <f t="shared" si="36"/>
        <v/>
      </c>
    </row>
    <row r="58" spans="1:15" ht="14.1" hidden="1" customHeight="1" x14ac:dyDescent="0.2">
      <c r="A58" s="47"/>
      <c r="B58" s="41" t="s">
        <v>155</v>
      </c>
      <c r="C58" s="49"/>
      <c r="D58" s="160"/>
      <c r="E58" s="158">
        <f t="shared" si="31"/>
        <v>0</v>
      </c>
      <c r="F58" s="30">
        <f t="shared" si="32"/>
        <v>0</v>
      </c>
      <c r="G58" s="142" t="s">
        <v>101</v>
      </c>
      <c r="H58" s="30">
        <f t="shared" si="37"/>
        <v>0</v>
      </c>
      <c r="I58" s="30" t="str">
        <f t="shared" si="33"/>
        <v xml:space="preserve"> </v>
      </c>
      <c r="J58" s="142" t="s">
        <v>63</v>
      </c>
      <c r="K58" s="30">
        <f t="shared" si="34"/>
        <v>0</v>
      </c>
      <c r="L58" s="30">
        <f t="shared" si="35"/>
        <v>0</v>
      </c>
      <c r="M58" s="176">
        <f t="shared" si="38"/>
        <v>0</v>
      </c>
      <c r="N58" s="28" t="str">
        <f t="shared" si="36"/>
        <v/>
      </c>
    </row>
    <row r="59" spans="1:15" ht="14.1" hidden="1" customHeight="1" x14ac:dyDescent="0.2">
      <c r="A59" s="47">
        <v>7</v>
      </c>
      <c r="B59" s="41" t="s">
        <v>155</v>
      </c>
      <c r="C59" s="49"/>
      <c r="D59" s="160"/>
      <c r="E59" s="158">
        <f t="shared" si="31"/>
        <v>0</v>
      </c>
      <c r="F59" s="30">
        <f t="shared" si="32"/>
        <v>0</v>
      </c>
      <c r="G59" s="142" t="s">
        <v>101</v>
      </c>
      <c r="H59" s="30">
        <f t="shared" si="37"/>
        <v>0</v>
      </c>
      <c r="I59" s="30" t="str">
        <f t="shared" si="33"/>
        <v xml:space="preserve"> </v>
      </c>
      <c r="J59" s="142" t="s">
        <v>63</v>
      </c>
      <c r="K59" s="30">
        <f t="shared" si="34"/>
        <v>0</v>
      </c>
      <c r="L59" s="30">
        <f t="shared" si="35"/>
        <v>0</v>
      </c>
      <c r="M59" s="176">
        <f t="shared" si="38"/>
        <v>0</v>
      </c>
      <c r="N59" s="28" t="str">
        <f t="shared" si="36"/>
        <v/>
      </c>
    </row>
    <row r="60" spans="1:15" ht="14.1" hidden="1" customHeight="1" x14ac:dyDescent="0.2">
      <c r="A60" s="47">
        <f>+A59</f>
        <v>7</v>
      </c>
      <c r="B60" s="41" t="s">
        <v>155</v>
      </c>
      <c r="C60" s="49"/>
      <c r="D60" s="160"/>
      <c r="E60" s="158">
        <f t="shared" si="31"/>
        <v>0</v>
      </c>
      <c r="F60" s="30">
        <f t="shared" si="32"/>
        <v>0</v>
      </c>
      <c r="G60" s="142" t="s">
        <v>101</v>
      </c>
      <c r="H60" s="30">
        <f t="shared" si="37"/>
        <v>0</v>
      </c>
      <c r="I60" s="30" t="str">
        <f t="shared" si="33"/>
        <v xml:space="preserve"> </v>
      </c>
      <c r="J60" s="142" t="s">
        <v>63</v>
      </c>
      <c r="K60" s="30">
        <f t="shared" si="34"/>
        <v>0</v>
      </c>
      <c r="L60" s="30">
        <f t="shared" si="35"/>
        <v>0</v>
      </c>
      <c r="M60" s="176">
        <f t="shared" si="38"/>
        <v>0</v>
      </c>
      <c r="N60" s="28" t="str">
        <f t="shared" si="36"/>
        <v/>
      </c>
      <c r="O60" s="29"/>
    </row>
    <row r="61" spans="1:15" ht="14.1" hidden="1" customHeight="1" x14ac:dyDescent="0.2">
      <c r="A61" s="47">
        <v>1</v>
      </c>
      <c r="B61" s="41" t="s">
        <v>155</v>
      </c>
      <c r="C61" s="49"/>
      <c r="D61" s="160"/>
      <c r="E61" s="158">
        <f t="shared" si="31"/>
        <v>0</v>
      </c>
      <c r="F61" s="30">
        <f t="shared" si="32"/>
        <v>0</v>
      </c>
      <c r="G61" s="142" t="s">
        <v>101</v>
      </c>
      <c r="H61" s="30">
        <f t="shared" si="37"/>
        <v>0</v>
      </c>
      <c r="I61" s="30" t="str">
        <f t="shared" si="33"/>
        <v xml:space="preserve"> </v>
      </c>
      <c r="J61" s="142" t="s">
        <v>63</v>
      </c>
      <c r="K61" s="30">
        <f t="shared" si="34"/>
        <v>0</v>
      </c>
      <c r="L61" s="30">
        <f t="shared" si="35"/>
        <v>0</v>
      </c>
      <c r="M61" s="176">
        <f t="shared" si="38"/>
        <v>0</v>
      </c>
      <c r="N61" s="28" t="str">
        <f t="shared" si="36"/>
        <v/>
      </c>
    </row>
    <row r="62" spans="1:15" ht="14.1" hidden="1" customHeight="1" x14ac:dyDescent="0.2">
      <c r="A62" s="47">
        <f>+A61</f>
        <v>1</v>
      </c>
      <c r="B62" s="41" t="s">
        <v>155</v>
      </c>
      <c r="C62" s="42"/>
      <c r="D62" s="160"/>
      <c r="E62" s="158">
        <f t="shared" si="31"/>
        <v>0</v>
      </c>
      <c r="F62" s="30">
        <f t="shared" si="32"/>
        <v>0</v>
      </c>
      <c r="G62" s="142" t="s">
        <v>101</v>
      </c>
      <c r="H62" s="30">
        <f t="shared" si="37"/>
        <v>0</v>
      </c>
      <c r="I62" s="30" t="str">
        <f t="shared" si="33"/>
        <v xml:space="preserve"> </v>
      </c>
      <c r="J62" s="142" t="s">
        <v>63</v>
      </c>
      <c r="K62" s="30">
        <f t="shared" si="34"/>
        <v>0</v>
      </c>
      <c r="L62" s="30">
        <f t="shared" si="35"/>
        <v>0</v>
      </c>
      <c r="M62" s="176">
        <f t="shared" si="38"/>
        <v>0</v>
      </c>
      <c r="N62" s="28" t="str">
        <f t="shared" si="36"/>
        <v/>
      </c>
    </row>
    <row r="63" spans="1:15" ht="14.1" hidden="1" customHeight="1" x14ac:dyDescent="0.2">
      <c r="A63" s="47"/>
      <c r="B63" s="41" t="s">
        <v>155</v>
      </c>
      <c r="C63" s="42"/>
      <c r="D63" s="160"/>
      <c r="E63" s="158">
        <f t="shared" si="31"/>
        <v>0</v>
      </c>
      <c r="F63" s="30">
        <f t="shared" si="32"/>
        <v>0</v>
      </c>
      <c r="G63" s="142" t="s">
        <v>101</v>
      </c>
      <c r="H63" s="30">
        <f t="shared" si="37"/>
        <v>0</v>
      </c>
      <c r="I63" s="30" t="str">
        <f t="shared" si="33"/>
        <v xml:space="preserve"> </v>
      </c>
      <c r="J63" s="142" t="s">
        <v>63</v>
      </c>
      <c r="K63" s="30">
        <f t="shared" si="34"/>
        <v>0</v>
      </c>
      <c r="L63" s="30">
        <f t="shared" si="35"/>
        <v>0</v>
      </c>
      <c r="M63" s="176">
        <f t="shared" si="38"/>
        <v>0</v>
      </c>
      <c r="N63" s="28" t="str">
        <f t="shared" si="36"/>
        <v/>
      </c>
    </row>
    <row r="64" spans="1:15" ht="14.1" hidden="1" customHeight="1" x14ac:dyDescent="0.2">
      <c r="A64" s="47"/>
      <c r="B64" s="41" t="s">
        <v>155</v>
      </c>
      <c r="C64" s="42"/>
      <c r="D64" s="160"/>
      <c r="E64" s="158">
        <f t="shared" si="31"/>
        <v>0</v>
      </c>
      <c r="F64" s="30">
        <f t="shared" si="32"/>
        <v>0</v>
      </c>
      <c r="G64" s="142" t="s">
        <v>101</v>
      </c>
      <c r="H64" s="30">
        <f t="shared" si="37"/>
        <v>0</v>
      </c>
      <c r="I64" s="30" t="str">
        <f t="shared" si="33"/>
        <v xml:space="preserve"> </v>
      </c>
      <c r="J64" s="142" t="s">
        <v>63</v>
      </c>
      <c r="K64" s="30">
        <f t="shared" si="34"/>
        <v>0</v>
      </c>
      <c r="L64" s="30">
        <f t="shared" si="35"/>
        <v>0</v>
      </c>
      <c r="M64" s="176">
        <f t="shared" si="38"/>
        <v>0</v>
      </c>
      <c r="N64" s="28" t="str">
        <f t="shared" si="36"/>
        <v/>
      </c>
    </row>
    <row r="65" spans="1:15" ht="14.1" hidden="1" customHeight="1" x14ac:dyDescent="0.2">
      <c r="A65" s="47"/>
      <c r="B65" s="41" t="s">
        <v>155</v>
      </c>
      <c r="C65" s="42"/>
      <c r="D65" s="160"/>
      <c r="E65" s="158">
        <f t="shared" si="31"/>
        <v>0</v>
      </c>
      <c r="F65" s="30">
        <f t="shared" si="32"/>
        <v>0</v>
      </c>
      <c r="G65" s="142" t="s">
        <v>101</v>
      </c>
      <c r="H65" s="30">
        <f t="shared" si="37"/>
        <v>0</v>
      </c>
      <c r="I65" s="30" t="str">
        <f t="shared" si="33"/>
        <v xml:space="preserve"> </v>
      </c>
      <c r="J65" s="142" t="s">
        <v>63</v>
      </c>
      <c r="K65" s="30">
        <f t="shared" si="34"/>
        <v>0</v>
      </c>
      <c r="L65" s="30">
        <f t="shared" si="35"/>
        <v>0</v>
      </c>
      <c r="M65" s="176">
        <f t="shared" si="38"/>
        <v>0</v>
      </c>
      <c r="N65" s="28" t="str">
        <f t="shared" si="36"/>
        <v/>
      </c>
    </row>
    <row r="66" spans="1:15" ht="14.1" hidden="1" customHeight="1" x14ac:dyDescent="0.2">
      <c r="A66" s="47" t="e">
        <f>+#REF!</f>
        <v>#REF!</v>
      </c>
      <c r="B66" s="41" t="s">
        <v>155</v>
      </c>
      <c r="C66" s="42"/>
      <c r="D66" s="160"/>
      <c r="E66" s="158">
        <f t="shared" si="31"/>
        <v>0</v>
      </c>
      <c r="F66" s="30">
        <f t="shared" si="32"/>
        <v>0</v>
      </c>
      <c r="G66" s="142" t="s">
        <v>101</v>
      </c>
      <c r="H66" s="30">
        <f t="shared" si="37"/>
        <v>0</v>
      </c>
      <c r="I66" s="30" t="str">
        <f t="shared" si="33"/>
        <v xml:space="preserve"> </v>
      </c>
      <c r="J66" s="142" t="s">
        <v>63</v>
      </c>
      <c r="K66" s="30">
        <f t="shared" si="34"/>
        <v>0</v>
      </c>
      <c r="L66" s="30">
        <f t="shared" si="35"/>
        <v>0</v>
      </c>
      <c r="M66" s="176">
        <f t="shared" si="38"/>
        <v>0</v>
      </c>
      <c r="N66" s="28" t="str">
        <f t="shared" si="36"/>
        <v/>
      </c>
      <c r="O66" s="29"/>
    </row>
    <row r="67" spans="1:15" ht="14.1" hidden="1" customHeight="1" x14ac:dyDescent="0.2">
      <c r="A67" s="47"/>
      <c r="B67" s="41" t="s">
        <v>155</v>
      </c>
      <c r="C67" s="42"/>
      <c r="D67" s="160"/>
      <c r="E67" s="158">
        <f t="shared" si="31"/>
        <v>0</v>
      </c>
      <c r="F67" s="30">
        <f t="shared" si="32"/>
        <v>0</v>
      </c>
      <c r="G67" s="142" t="s">
        <v>101</v>
      </c>
      <c r="H67" s="30">
        <f t="shared" si="37"/>
        <v>0</v>
      </c>
      <c r="I67" s="30" t="str">
        <f t="shared" si="33"/>
        <v xml:space="preserve"> </v>
      </c>
      <c r="J67" s="142" t="s">
        <v>63</v>
      </c>
      <c r="K67" s="30">
        <f t="shared" si="34"/>
        <v>0</v>
      </c>
      <c r="L67" s="30">
        <f t="shared" si="35"/>
        <v>0</v>
      </c>
      <c r="M67" s="176">
        <f t="shared" si="38"/>
        <v>0</v>
      </c>
      <c r="N67" s="28" t="str">
        <f t="shared" si="36"/>
        <v/>
      </c>
    </row>
    <row r="68" spans="1:15" ht="14.1" hidden="1" customHeight="1" x14ac:dyDescent="0.2">
      <c r="A68" s="47">
        <v>1</v>
      </c>
      <c r="B68" s="41" t="s">
        <v>155</v>
      </c>
      <c r="C68" s="42"/>
      <c r="D68" s="160"/>
      <c r="E68" s="158">
        <f t="shared" si="31"/>
        <v>0</v>
      </c>
      <c r="F68" s="30">
        <f t="shared" si="32"/>
        <v>0</v>
      </c>
      <c r="G68" s="142" t="s">
        <v>101</v>
      </c>
      <c r="H68" s="30">
        <f t="shared" si="37"/>
        <v>0</v>
      </c>
      <c r="I68" s="30" t="str">
        <f t="shared" si="33"/>
        <v xml:space="preserve"> </v>
      </c>
      <c r="J68" s="142" t="s">
        <v>63</v>
      </c>
      <c r="K68" s="30">
        <f t="shared" si="34"/>
        <v>0</v>
      </c>
      <c r="L68" s="30">
        <f t="shared" si="35"/>
        <v>0</v>
      </c>
      <c r="M68" s="176">
        <f t="shared" si="38"/>
        <v>0</v>
      </c>
      <c r="N68" s="28" t="str">
        <f t="shared" si="36"/>
        <v/>
      </c>
    </row>
    <row r="69" spans="1:15" ht="14.1" hidden="1" customHeight="1" x14ac:dyDescent="0.2">
      <c r="A69" s="47">
        <v>4</v>
      </c>
      <c r="B69" s="63" t="s">
        <v>156</v>
      </c>
      <c r="C69" s="44" t="s">
        <v>157</v>
      </c>
      <c r="D69" s="35">
        <f>SUM(D53:D68)</f>
        <v>0</v>
      </c>
      <c r="E69" s="161">
        <f>SUM(E53:E68)</f>
        <v>0</v>
      </c>
      <c r="F69" s="35">
        <f>SUM(F53:F68)</f>
        <v>0</v>
      </c>
      <c r="G69" s="142"/>
      <c r="H69" s="35">
        <f>SUM(H53:H68)</f>
        <v>0</v>
      </c>
      <c r="I69" s="35">
        <f>SUM(I53:I68)</f>
        <v>0</v>
      </c>
      <c r="J69" s="142"/>
      <c r="K69" s="35">
        <f>SUM(K53:K68)</f>
        <v>0</v>
      </c>
      <c r="L69" s="35">
        <f>SUM(L53:L68)</f>
        <v>0</v>
      </c>
      <c r="M69" s="35">
        <f>SUM(M53:M68)</f>
        <v>0</v>
      </c>
      <c r="N69" s="28" t="str">
        <f t="shared" si="36"/>
        <v/>
      </c>
    </row>
    <row r="70" spans="1:15" ht="14.1" hidden="1" customHeight="1" x14ac:dyDescent="0.2">
      <c r="A70" s="50">
        <f>+A69</f>
        <v>4</v>
      </c>
      <c r="B70" s="66"/>
      <c r="C70" s="48"/>
      <c r="D70" s="30"/>
      <c r="E70" s="163"/>
      <c r="F70" s="176"/>
      <c r="G70" s="142"/>
      <c r="J70" s="142"/>
      <c r="N70" s="28" t="str">
        <f>IF(N69="*","*","")</f>
        <v/>
      </c>
    </row>
    <row r="71" spans="1:15" ht="12.75" hidden="1" customHeight="1" x14ac:dyDescent="0.2">
      <c r="B71" s="41" t="s">
        <v>83</v>
      </c>
      <c r="C71" s="42"/>
      <c r="D71" s="159"/>
      <c r="E71" s="158">
        <f>+D71*24*1.02</f>
        <v>0</v>
      </c>
      <c r="F71" s="30">
        <f t="shared" ref="F71:F75" si="39">IF(G71="Y",E71*$F$5," ")*0.5</f>
        <v>0</v>
      </c>
      <c r="G71" s="142" t="s">
        <v>101</v>
      </c>
      <c r="H71" s="30">
        <f>+$E71*$H$5</f>
        <v>0</v>
      </c>
      <c r="I71" s="30" t="str">
        <f>IF(J71="Y",8712.304," ")</f>
        <v xml:space="preserve"> </v>
      </c>
      <c r="J71" s="142" t="s">
        <v>63</v>
      </c>
      <c r="K71" s="30">
        <f t="shared" ref="K71:K75" si="40">+$E71*$I$5</f>
        <v>0</v>
      </c>
      <c r="L71" s="30">
        <f t="shared" ref="L71:L75" si="41">IF(E71&gt;7000,7000*$K$5,E71*$K$5)</f>
        <v>0</v>
      </c>
      <c r="M71" s="176">
        <f t="shared" ref="M71:M75" si="42">SUM(H71:L71,E71:F71)</f>
        <v>0</v>
      </c>
      <c r="N71" s="28" t="str">
        <f t="shared" ref="N71:N76" si="43">IF(M71&gt;0.49,"*","")</f>
        <v/>
      </c>
    </row>
    <row r="72" spans="1:15" ht="14.1" hidden="1" customHeight="1" x14ac:dyDescent="0.2">
      <c r="B72" s="41" t="s">
        <v>83</v>
      </c>
      <c r="C72" s="49"/>
      <c r="D72" s="160"/>
      <c r="E72" s="158">
        <f>+D72*24*1.02</f>
        <v>0</v>
      </c>
      <c r="F72" s="30">
        <f t="shared" si="39"/>
        <v>0</v>
      </c>
      <c r="G72" s="142" t="s">
        <v>101</v>
      </c>
      <c r="H72" s="30">
        <f>+$E72*$H$5</f>
        <v>0</v>
      </c>
      <c r="I72" s="30" t="str">
        <f>IF(J72="Y",8712.304," ")</f>
        <v xml:space="preserve"> </v>
      </c>
      <c r="J72" s="142" t="s">
        <v>63</v>
      </c>
      <c r="K72" s="30">
        <f t="shared" si="40"/>
        <v>0</v>
      </c>
      <c r="L72" s="30">
        <f t="shared" si="41"/>
        <v>0</v>
      </c>
      <c r="M72" s="176">
        <f t="shared" si="42"/>
        <v>0</v>
      </c>
      <c r="N72" s="28" t="str">
        <f t="shared" si="43"/>
        <v/>
      </c>
    </row>
    <row r="73" spans="1:15" ht="14.1" hidden="1" customHeight="1" x14ac:dyDescent="0.2">
      <c r="B73" s="41" t="s">
        <v>83</v>
      </c>
      <c r="C73" s="49"/>
      <c r="D73" s="160"/>
      <c r="E73" s="158">
        <f>+D73*24*1.02</f>
        <v>0</v>
      </c>
      <c r="F73" s="30">
        <f t="shared" si="39"/>
        <v>0</v>
      </c>
      <c r="G73" s="142" t="s">
        <v>101</v>
      </c>
      <c r="H73" s="30">
        <f>+$E73*$H$5</f>
        <v>0</v>
      </c>
      <c r="I73" s="30" t="str">
        <f>IF(J73="Y",8712.304," ")</f>
        <v xml:space="preserve"> </v>
      </c>
      <c r="J73" s="142" t="s">
        <v>63</v>
      </c>
      <c r="K73" s="30">
        <f t="shared" si="40"/>
        <v>0</v>
      </c>
      <c r="L73" s="30">
        <f t="shared" si="41"/>
        <v>0</v>
      </c>
      <c r="M73" s="176">
        <f t="shared" si="42"/>
        <v>0</v>
      </c>
      <c r="N73" s="28" t="str">
        <f t="shared" si="43"/>
        <v/>
      </c>
    </row>
    <row r="74" spans="1:15" ht="14.1" hidden="1" customHeight="1" x14ac:dyDescent="0.2">
      <c r="B74" s="41" t="s">
        <v>83</v>
      </c>
      <c r="C74" s="42"/>
      <c r="D74" s="160"/>
      <c r="E74" s="158">
        <f>+D74*24*1.02</f>
        <v>0</v>
      </c>
      <c r="F74" s="30">
        <f t="shared" si="39"/>
        <v>0</v>
      </c>
      <c r="G74" s="142" t="s">
        <v>101</v>
      </c>
      <c r="H74" s="30">
        <f>+$E74*$H$5</f>
        <v>0</v>
      </c>
      <c r="I74" s="30" t="str">
        <f>IF(J74="Y",8712.304," ")</f>
        <v xml:space="preserve"> </v>
      </c>
      <c r="J74" s="142" t="s">
        <v>63</v>
      </c>
      <c r="K74" s="30">
        <f t="shared" si="40"/>
        <v>0</v>
      </c>
      <c r="L74" s="30">
        <f t="shared" si="41"/>
        <v>0</v>
      </c>
      <c r="M74" s="176">
        <f t="shared" si="42"/>
        <v>0</v>
      </c>
      <c r="N74" s="28" t="str">
        <f>IF(M74&gt;0.49,"*","")</f>
        <v/>
      </c>
    </row>
    <row r="75" spans="1:15" ht="14.1" hidden="1" customHeight="1" x14ac:dyDescent="0.2">
      <c r="B75" s="41" t="s">
        <v>83</v>
      </c>
      <c r="C75" s="64"/>
      <c r="D75" s="160"/>
      <c r="E75" s="158">
        <f>+D75*24*1.02</f>
        <v>0</v>
      </c>
      <c r="F75" s="30">
        <f t="shared" si="39"/>
        <v>0</v>
      </c>
      <c r="G75" s="142" t="s">
        <v>101</v>
      </c>
      <c r="H75" s="30">
        <f>+$E75*$H$5</f>
        <v>0</v>
      </c>
      <c r="I75" s="30" t="str">
        <f>IF(J75="Y",8712.304," ")</f>
        <v xml:space="preserve"> </v>
      </c>
      <c r="J75" s="142" t="s">
        <v>63</v>
      </c>
      <c r="K75" s="30">
        <f t="shared" si="40"/>
        <v>0</v>
      </c>
      <c r="L75" s="30">
        <f t="shared" si="41"/>
        <v>0</v>
      </c>
      <c r="M75" s="176">
        <f t="shared" si="42"/>
        <v>0</v>
      </c>
      <c r="N75" s="28" t="str">
        <f t="shared" si="43"/>
        <v/>
      </c>
    </row>
    <row r="76" spans="1:15" ht="14.1" hidden="1" customHeight="1" x14ac:dyDescent="0.2">
      <c r="B76" s="63" t="s">
        <v>84</v>
      </c>
      <c r="C76" s="44" t="s">
        <v>93</v>
      </c>
      <c r="D76" s="35">
        <f>SUM(D71:D75)</f>
        <v>0</v>
      </c>
      <c r="E76" s="161">
        <f>SUM(E71:E75)</f>
        <v>0</v>
      </c>
      <c r="F76" s="35">
        <f t="shared" ref="F76:M76" si="44">SUM(F71:F75)</f>
        <v>0</v>
      </c>
      <c r="G76" s="142"/>
      <c r="H76" s="35">
        <f t="shared" si="44"/>
        <v>0</v>
      </c>
      <c r="I76" s="35">
        <f t="shared" si="44"/>
        <v>0</v>
      </c>
      <c r="J76" s="142"/>
      <c r="K76" s="35">
        <f t="shared" si="44"/>
        <v>0</v>
      </c>
      <c r="L76" s="35">
        <f t="shared" si="44"/>
        <v>0</v>
      </c>
      <c r="M76" s="35">
        <f t="shared" si="44"/>
        <v>0</v>
      </c>
      <c r="N76" s="28" t="str">
        <f t="shared" si="43"/>
        <v/>
      </c>
    </row>
    <row r="77" spans="1:15" ht="14.1" hidden="1" customHeight="1" x14ac:dyDescent="0.2">
      <c r="B77" s="48"/>
      <c r="C77" s="48"/>
      <c r="D77" s="30"/>
      <c r="E77" s="163"/>
      <c r="F77" s="176"/>
      <c r="G77" s="142"/>
      <c r="J77" s="142"/>
      <c r="N77" s="28" t="str">
        <f>IF(N76="*","*","")</f>
        <v/>
      </c>
    </row>
    <row r="78" spans="1:15" ht="12.75" hidden="1" customHeight="1" x14ac:dyDescent="0.2">
      <c r="A78" s="45">
        <v>1</v>
      </c>
      <c r="B78" s="41" t="s">
        <v>81</v>
      </c>
      <c r="C78" s="42"/>
      <c r="D78" s="160"/>
      <c r="E78" s="158">
        <f>+D78*24*1.02</f>
        <v>0</v>
      </c>
      <c r="F78" s="30">
        <f t="shared" ref="F78" si="45">IF(G78="Y",E78*$F$5," ")*0.5</f>
        <v>0</v>
      </c>
      <c r="G78" s="142" t="s">
        <v>101</v>
      </c>
      <c r="H78" s="30">
        <f>+$E78*$H$5</f>
        <v>0</v>
      </c>
      <c r="I78" s="30" t="str">
        <f>IF(J78="Y",8712.304," ")</f>
        <v xml:space="preserve"> </v>
      </c>
      <c r="J78" s="142" t="s">
        <v>63</v>
      </c>
      <c r="K78" s="30">
        <f t="shared" ref="K78" si="46">+$E78*$I$5</f>
        <v>0</v>
      </c>
      <c r="L78" s="30">
        <f t="shared" ref="L78" si="47">IF(E78&gt;7000,7000*$K$5,E78*$K$5)</f>
        <v>0</v>
      </c>
      <c r="M78" s="176">
        <f t="shared" ref="M78" si="48">SUM(H78:L78,E78:F78)</f>
        <v>0</v>
      </c>
      <c r="N78" s="28" t="str">
        <f>IF(M78&gt;0.49,"*","")</f>
        <v/>
      </c>
    </row>
    <row r="79" spans="1:15" ht="12.75" hidden="1" customHeight="1" x14ac:dyDescent="0.2">
      <c r="A79" s="65"/>
      <c r="B79" s="57"/>
      <c r="C79" s="57"/>
      <c r="D79" s="160"/>
      <c r="E79" s="158"/>
      <c r="F79" s="35"/>
      <c r="G79" s="142"/>
      <c r="H79" s="35"/>
      <c r="I79" s="30" t="str">
        <f>IF(J79="Y",8712.304," ")</f>
        <v xml:space="preserve"> </v>
      </c>
      <c r="J79" s="142"/>
      <c r="K79" s="35"/>
      <c r="L79" s="35"/>
      <c r="M79" s="35"/>
    </row>
    <row r="80" spans="1:15" ht="12.75" hidden="1" customHeight="1" x14ac:dyDescent="0.2">
      <c r="A80" s="36" t="e">
        <f>SUM(A79:A79,A92:A92,#REF!,A68,A66:A66,A64,A61:A61,A31:A31,A23:A23,#REF!)</f>
        <v>#REF!</v>
      </c>
      <c r="B80" s="63" t="s">
        <v>82</v>
      </c>
      <c r="C80" s="44" t="s">
        <v>80</v>
      </c>
      <c r="D80" s="35">
        <f>SUM(D78:D79)</f>
        <v>0</v>
      </c>
      <c r="E80" s="162">
        <f>SUM(E78:E79)</f>
        <v>0</v>
      </c>
      <c r="F80" s="35">
        <f t="shared" ref="F80:M80" si="49">SUM(F78:F79)</f>
        <v>0</v>
      </c>
      <c r="G80" s="142"/>
      <c r="H80" s="35">
        <f t="shared" si="49"/>
        <v>0</v>
      </c>
      <c r="I80" s="35">
        <f t="shared" si="49"/>
        <v>0</v>
      </c>
      <c r="J80" s="142"/>
      <c r="K80" s="35">
        <f t="shared" si="49"/>
        <v>0</v>
      </c>
      <c r="L80" s="35">
        <f t="shared" si="49"/>
        <v>0</v>
      </c>
      <c r="M80" s="35">
        <f t="shared" si="49"/>
        <v>0</v>
      </c>
      <c r="N80" s="28" t="str">
        <f>IF(M80&gt;0.49,"*","")</f>
        <v/>
      </c>
    </row>
    <row r="81" spans="1:15" ht="12.75" hidden="1" customHeight="1" x14ac:dyDescent="0.2">
      <c r="B81" s="66"/>
      <c r="C81" s="48"/>
      <c r="D81" s="30"/>
      <c r="E81" s="163"/>
      <c r="F81" s="176"/>
      <c r="G81" s="142"/>
      <c r="I81" s="30" t="str">
        <f>IF(J81="Y",8712.304," ")</f>
        <v xml:space="preserve"> </v>
      </c>
      <c r="J81" s="142"/>
      <c r="N81" s="28" t="str">
        <f>N80</f>
        <v/>
      </c>
    </row>
    <row r="82" spans="1:15" ht="12.75" customHeight="1" x14ac:dyDescent="0.2">
      <c r="A82" s="45">
        <v>1</v>
      </c>
      <c r="B82" s="41" t="s">
        <v>87</v>
      </c>
      <c r="C82" s="42" t="s">
        <v>311</v>
      </c>
      <c r="D82" s="160"/>
      <c r="E82" s="158">
        <v>1000</v>
      </c>
      <c r="F82" s="30">
        <f t="shared" ref="F82:F83" si="50">IF(G82="Y",E82*$F$5," ")*0.5</f>
        <v>37.6</v>
      </c>
      <c r="G82" s="142" t="s">
        <v>101</v>
      </c>
      <c r="H82" s="30">
        <f>+$E82*$H$5</f>
        <v>76.5</v>
      </c>
      <c r="I82" s="30" t="str">
        <f>IF(J82="Y",8712.304," ")</f>
        <v xml:space="preserve"> </v>
      </c>
      <c r="J82" s="142" t="s">
        <v>63</v>
      </c>
      <c r="K82" s="30">
        <f t="shared" ref="K82:K83" si="51">+$E82*$I$5</f>
        <v>5.1000000000000005</v>
      </c>
      <c r="L82" s="30">
        <f t="shared" ref="L82:L83" si="52">IF(E82&gt;7000,7000*$K$5,E82*$K$5)</f>
        <v>27</v>
      </c>
      <c r="M82" s="176">
        <f t="shared" ref="M82:M83" si="53">SUM(H82:L82,E82:F82)</f>
        <v>1146.1999999999998</v>
      </c>
      <c r="N82" s="28" t="str">
        <f>IF(M82&gt;0.49,"*","")</f>
        <v>*</v>
      </c>
    </row>
    <row r="83" spans="1:15" ht="12.75" hidden="1" customHeight="1" x14ac:dyDescent="0.2">
      <c r="A83" s="65"/>
      <c r="B83" s="57"/>
      <c r="C83" s="57"/>
      <c r="D83" s="160"/>
      <c r="E83" s="158"/>
      <c r="F83" s="30">
        <f t="shared" si="50"/>
        <v>0</v>
      </c>
      <c r="G83" s="142" t="s">
        <v>101</v>
      </c>
      <c r="H83" s="30">
        <f>+$E83*$H$5</f>
        <v>0</v>
      </c>
      <c r="I83" s="30" t="str">
        <f>IF(J83="Y",8712.304," ")</f>
        <v xml:space="preserve"> </v>
      </c>
      <c r="J83" s="142" t="s">
        <v>63</v>
      </c>
      <c r="K83" s="30">
        <f t="shared" si="51"/>
        <v>0</v>
      </c>
      <c r="L83" s="30">
        <f t="shared" si="52"/>
        <v>0</v>
      </c>
      <c r="M83" s="176">
        <f t="shared" si="53"/>
        <v>0</v>
      </c>
    </row>
    <row r="84" spans="1:15" ht="12.75" customHeight="1" x14ac:dyDescent="0.2">
      <c r="A84" s="36" t="e">
        <f>SUM(A83:A83,#REF!,A37:A37,#REF!,A65:A65,A60,A57:A57,#REF!,#REF!,#REF!)</f>
        <v>#REF!</v>
      </c>
      <c r="B84" s="63" t="s">
        <v>88</v>
      </c>
      <c r="C84" s="44" t="s">
        <v>133</v>
      </c>
      <c r="D84" s="35">
        <f>SUM(D82:D83)</f>
        <v>0</v>
      </c>
      <c r="E84" s="161">
        <f>SUM(E82:E83)</f>
        <v>1000</v>
      </c>
      <c r="F84" s="35">
        <f>SUM(F82:F83)</f>
        <v>37.6</v>
      </c>
      <c r="G84" s="142"/>
      <c r="H84" s="35">
        <f>SUM(H82:H83)</f>
        <v>76.5</v>
      </c>
      <c r="I84" s="35">
        <f>SUM(I82:I83)</f>
        <v>0</v>
      </c>
      <c r="J84" s="142"/>
      <c r="K84" s="35">
        <f>SUM(K82:K83)</f>
        <v>5.1000000000000005</v>
      </c>
      <c r="L84" s="35">
        <f>SUM(L82:L83)</f>
        <v>27</v>
      </c>
      <c r="M84" s="35">
        <f>SUM(M82:M83)</f>
        <v>1146.1999999999998</v>
      </c>
      <c r="N84" s="28" t="str">
        <f>IF(M84&gt;0.49,"*","")</f>
        <v>*</v>
      </c>
    </row>
    <row r="85" spans="1:15" ht="12.75" customHeight="1" x14ac:dyDescent="0.2">
      <c r="B85" s="66"/>
      <c r="C85" s="48"/>
      <c r="D85" s="30"/>
      <c r="E85" s="163"/>
      <c r="F85" s="176"/>
      <c r="G85" s="142"/>
      <c r="I85" s="30" t="str">
        <f>IF(J85="Y",8712.304," ")</f>
        <v xml:space="preserve"> </v>
      </c>
      <c r="J85" s="142"/>
      <c r="N85" s="28" t="str">
        <f>N84</f>
        <v>*</v>
      </c>
    </row>
    <row r="86" spans="1:15" ht="12.75" customHeight="1" x14ac:dyDescent="0.2">
      <c r="A86" s="45">
        <v>1</v>
      </c>
      <c r="B86" s="41" t="s">
        <v>312</v>
      </c>
      <c r="C86" s="42" t="s">
        <v>314</v>
      </c>
      <c r="D86" s="160"/>
      <c r="E86" s="158">
        <v>400</v>
      </c>
      <c r="F86" s="30">
        <f t="shared" ref="F86:F87" si="54">IF(G86="Y",E86*$F$5," ")*0.5</f>
        <v>15.040000000000001</v>
      </c>
      <c r="G86" s="142" t="s">
        <v>101</v>
      </c>
      <c r="H86" s="30">
        <f>+$E86*$H$5</f>
        <v>30.599999999999998</v>
      </c>
      <c r="I86" s="30" t="str">
        <f>IF(J86="Y",8712.304," ")</f>
        <v xml:space="preserve"> </v>
      </c>
      <c r="J86" s="142" t="s">
        <v>63</v>
      </c>
      <c r="K86" s="30">
        <f t="shared" ref="K86:K87" si="55">+$E86*$I$5</f>
        <v>2.04</v>
      </c>
      <c r="L86" s="30">
        <f t="shared" ref="L86:L87" si="56">IF(E86&gt;7000,7000*$K$5,E86*$K$5)</f>
        <v>10.8</v>
      </c>
      <c r="M86" s="176">
        <f t="shared" ref="M86:M87" si="57">SUM(H86:L86,E86:F86)</f>
        <v>458.48</v>
      </c>
      <c r="N86" s="28" t="str">
        <f>IF(M86&gt;0.49,"*","")</f>
        <v>*</v>
      </c>
    </row>
    <row r="87" spans="1:15" ht="12.75" hidden="1" customHeight="1" x14ac:dyDescent="0.2">
      <c r="A87" s="65"/>
      <c r="B87" s="57"/>
      <c r="C87" s="57"/>
      <c r="D87" s="160"/>
      <c r="E87" s="158"/>
      <c r="F87" s="30">
        <f t="shared" si="54"/>
        <v>0</v>
      </c>
      <c r="G87" s="142" t="s">
        <v>101</v>
      </c>
      <c r="H87" s="30">
        <f>+$E87*$H$5</f>
        <v>0</v>
      </c>
      <c r="I87" s="30" t="str">
        <f>IF(J87="Y",8712.304," ")</f>
        <v xml:space="preserve"> </v>
      </c>
      <c r="J87" s="142" t="s">
        <v>63</v>
      </c>
      <c r="K87" s="30">
        <f t="shared" si="55"/>
        <v>0</v>
      </c>
      <c r="L87" s="30">
        <f t="shared" si="56"/>
        <v>0</v>
      </c>
      <c r="M87" s="176">
        <f t="shared" si="57"/>
        <v>0</v>
      </c>
    </row>
    <row r="88" spans="1:15" ht="12.75" customHeight="1" x14ac:dyDescent="0.2">
      <c r="A88" s="36" t="e">
        <f>SUM(A87:A87,#REF!,A41:A41,#REF!,A69:A69,A64,A61:A61,#REF!,#REF!,#REF!)</f>
        <v>#REF!</v>
      </c>
      <c r="B88" s="63" t="s">
        <v>313</v>
      </c>
      <c r="C88" s="44" t="s">
        <v>110</v>
      </c>
      <c r="D88" s="35">
        <f>SUM(D86:D87)</f>
        <v>0</v>
      </c>
      <c r="E88" s="161">
        <f>SUM(E86:E87)</f>
        <v>400</v>
      </c>
      <c r="F88" s="35">
        <f>SUM(F86:F87)</f>
        <v>15.040000000000001</v>
      </c>
      <c r="G88" s="142"/>
      <c r="H88" s="35">
        <f>SUM(H86:H87)</f>
        <v>30.599999999999998</v>
      </c>
      <c r="I88" s="35">
        <f>SUM(I86:I87)</f>
        <v>0</v>
      </c>
      <c r="J88" s="142"/>
      <c r="K88" s="35">
        <f>SUM(K86:K87)</f>
        <v>2.04</v>
      </c>
      <c r="L88" s="35">
        <f>SUM(L86:L87)</f>
        <v>10.8</v>
      </c>
      <c r="M88" s="35">
        <f>SUM(M86:M87)</f>
        <v>458.48</v>
      </c>
      <c r="N88" s="28" t="str">
        <f>IF(M88&gt;0.49,"*","")</f>
        <v>*</v>
      </c>
    </row>
    <row r="89" spans="1:15" ht="12.75" customHeight="1" x14ac:dyDescent="0.2">
      <c r="A89" s="65"/>
      <c r="B89" s="57"/>
      <c r="C89" s="57"/>
      <c r="D89" s="35"/>
      <c r="E89" s="162"/>
      <c r="F89" s="35"/>
      <c r="G89" s="142"/>
      <c r="H89" s="35"/>
      <c r="I89" s="35"/>
      <c r="J89" s="142"/>
      <c r="K89" s="35"/>
      <c r="L89" s="35"/>
      <c r="M89" s="35"/>
      <c r="N89" s="28" t="str">
        <f>N84</f>
        <v>*</v>
      </c>
    </row>
    <row r="90" spans="1:15" x14ac:dyDescent="0.2">
      <c r="A90" s="45">
        <v>1</v>
      </c>
      <c r="B90" s="41" t="s">
        <v>154</v>
      </c>
      <c r="C90" s="49" t="s">
        <v>279</v>
      </c>
      <c r="D90" s="158">
        <v>0</v>
      </c>
      <c r="E90" s="158">
        <v>52000</v>
      </c>
      <c r="F90" s="30">
        <f t="shared" ref="F90" si="58">IF(G90="Y",E90*$F$5," ")*0.5</f>
        <v>1955.2</v>
      </c>
      <c r="G90" s="142" t="s">
        <v>101</v>
      </c>
      <c r="H90" s="30">
        <f>+$E90*$H$5</f>
        <v>3978</v>
      </c>
      <c r="I90" s="30">
        <f>IF(J90="Y",8712.304," ")</f>
        <v>8712.3040000000001</v>
      </c>
      <c r="J90" s="142" t="s">
        <v>101</v>
      </c>
      <c r="K90" s="30">
        <f t="shared" ref="K90:K91" si="59">+$E90*$I$5</f>
        <v>265.20000000000005</v>
      </c>
      <c r="L90" s="30">
        <f t="shared" ref="L90" si="60">IF(E90&gt;7000,7000*$K$5,E90*$K$5)</f>
        <v>189</v>
      </c>
      <c r="M90" s="176">
        <f t="shared" ref="M90:M91" si="61">SUM(H90:L90,E90:F90)</f>
        <v>67099.703999999998</v>
      </c>
      <c r="N90" s="28" t="str">
        <f>IF(M90&gt;0.49,"*","")</f>
        <v>*</v>
      </c>
    </row>
    <row r="91" spans="1:15" ht="13.15" hidden="1" customHeight="1" x14ac:dyDescent="0.2">
      <c r="A91" s="65"/>
      <c r="B91" s="57"/>
      <c r="C91" s="57"/>
      <c r="D91" s="160"/>
      <c r="E91" s="158"/>
      <c r="F91" s="35"/>
      <c r="G91" s="142"/>
      <c r="H91" s="35"/>
      <c r="I91" s="30" t="str">
        <f>IF(J91="Y",8712.304," ")</f>
        <v xml:space="preserve"> </v>
      </c>
      <c r="J91" s="142"/>
      <c r="K91" s="30">
        <f t="shared" si="59"/>
        <v>0</v>
      </c>
      <c r="L91" s="35"/>
      <c r="M91" s="176">
        <f t="shared" si="61"/>
        <v>0</v>
      </c>
    </row>
    <row r="92" spans="1:15" x14ac:dyDescent="0.2">
      <c r="A92" s="36" t="e">
        <f>SUM(A91:A91,A52:A52,A37:A37,#REF!,A65:A65,A60,A57:A57,#REF!,#REF!,#REF!)</f>
        <v>#REF!</v>
      </c>
      <c r="B92" s="63" t="s">
        <v>158</v>
      </c>
      <c r="C92" s="44" t="s">
        <v>301</v>
      </c>
      <c r="D92" s="35">
        <f>SUM(D90:D91)</f>
        <v>0</v>
      </c>
      <c r="E92" s="161">
        <f>SUM(E90:E91)</f>
        <v>52000</v>
      </c>
      <c r="F92" s="35">
        <f>SUM(F90:F91)</f>
        <v>1955.2</v>
      </c>
      <c r="G92" s="142"/>
      <c r="H92" s="35">
        <f>SUM(H90:H91)</f>
        <v>3978</v>
      </c>
      <c r="I92" s="35">
        <f>SUM(I90:I91)</f>
        <v>8712.3040000000001</v>
      </c>
      <c r="J92" s="142"/>
      <c r="K92" s="35">
        <f>SUM(K90:K91)</f>
        <v>265.20000000000005</v>
      </c>
      <c r="L92" s="35">
        <f>SUM(L90:L91)</f>
        <v>189</v>
      </c>
      <c r="M92" s="35">
        <f>SUM(M90:M91)</f>
        <v>67099.703999999998</v>
      </c>
      <c r="N92" s="28" t="str">
        <f>IF(M92&gt;0.49,"*","")</f>
        <v>*</v>
      </c>
    </row>
    <row r="93" spans="1:15" ht="14.1" customHeight="1" x14ac:dyDescent="0.2">
      <c r="A93" s="65"/>
      <c r="B93" s="57"/>
      <c r="C93" s="57"/>
      <c r="D93" s="35"/>
      <c r="E93" s="162"/>
      <c r="F93" s="35"/>
      <c r="G93" s="142"/>
      <c r="H93" s="35"/>
      <c r="I93" s="35"/>
      <c r="J93" s="142"/>
      <c r="K93" s="35"/>
      <c r="L93" s="35"/>
      <c r="M93" s="35"/>
      <c r="N93" s="28" t="str">
        <f>N92</f>
        <v>*</v>
      </c>
      <c r="O93" s="48"/>
    </row>
    <row r="94" spans="1:15" ht="14.1" hidden="1" customHeight="1" x14ac:dyDescent="0.2">
      <c r="B94" s="41" t="s">
        <v>19</v>
      </c>
      <c r="C94" s="49"/>
      <c r="D94" s="159"/>
      <c r="E94" s="158">
        <f>+D94*24*1.02</f>
        <v>0</v>
      </c>
      <c r="F94" s="30">
        <f t="shared" ref="F94:F96" si="62">IF(G94="Y",E94*$F$5," ")*0.5</f>
        <v>0</v>
      </c>
      <c r="G94" s="142" t="s">
        <v>101</v>
      </c>
      <c r="H94" s="30">
        <f>+$E94*$H$5</f>
        <v>0</v>
      </c>
      <c r="I94" s="30" t="str">
        <f>IF(J94="Y",8712.304," ")</f>
        <v xml:space="preserve"> </v>
      </c>
      <c r="J94" s="142" t="s">
        <v>63</v>
      </c>
      <c r="K94" s="30">
        <f t="shared" ref="K94:K96" si="63">+$E94*$I$5</f>
        <v>0</v>
      </c>
      <c r="L94" s="30">
        <f t="shared" ref="L94:L95" si="64">IF(E94&gt;7000,7000*$K$5,E94*$K$5)</f>
        <v>0</v>
      </c>
      <c r="M94" s="176">
        <f t="shared" ref="M94:M96" si="65">SUM(H94:L94,E94:F94)</f>
        <v>0</v>
      </c>
      <c r="N94" s="28" t="str">
        <f>IF(M94&gt;0.49,"*","")</f>
        <v/>
      </c>
      <c r="O94" s="48"/>
    </row>
    <row r="95" spans="1:15" ht="14.1" customHeight="1" x14ac:dyDescent="0.2">
      <c r="B95" s="41" t="s">
        <v>19</v>
      </c>
      <c r="C95" s="49" t="s">
        <v>270</v>
      </c>
      <c r="D95" s="158"/>
      <c r="E95" s="158">
        <v>92799</v>
      </c>
      <c r="F95" s="30">
        <f t="shared" si="62"/>
        <v>3489.2424000000001</v>
      </c>
      <c r="G95" s="142" t="s">
        <v>101</v>
      </c>
      <c r="H95" s="30">
        <f>+$E95*$H$5</f>
        <v>7099.1234999999997</v>
      </c>
      <c r="I95" s="30">
        <f>IF(J95="Y",8712.304," ")</f>
        <v>8712.3040000000001</v>
      </c>
      <c r="J95" s="142" t="s">
        <v>101</v>
      </c>
      <c r="K95" s="30">
        <f t="shared" si="63"/>
        <v>473.27490000000006</v>
      </c>
      <c r="L95" s="30">
        <f t="shared" si="64"/>
        <v>189</v>
      </c>
      <c r="M95" s="176">
        <f t="shared" si="65"/>
        <v>112761.94480000001</v>
      </c>
      <c r="N95" s="28" t="str">
        <f>IF(M95&gt;0.49,"*","")</f>
        <v>*</v>
      </c>
      <c r="O95" s="48"/>
    </row>
    <row r="96" spans="1:15" ht="14.1" customHeight="1" x14ac:dyDescent="0.2">
      <c r="B96" s="41" t="s">
        <v>19</v>
      </c>
      <c r="C96" s="49" t="s">
        <v>309</v>
      </c>
      <c r="D96" s="160"/>
      <c r="E96" s="158">
        <v>5000</v>
      </c>
      <c r="F96" s="30">
        <f t="shared" si="62"/>
        <v>188</v>
      </c>
      <c r="G96" s="142" t="s">
        <v>101</v>
      </c>
      <c r="H96" s="30">
        <f>+$E96*$H$5</f>
        <v>382.5</v>
      </c>
      <c r="I96" s="30" t="str">
        <f>IF(J96="Y",8712.304," ")</f>
        <v xml:space="preserve"> </v>
      </c>
      <c r="J96" s="142" t="s">
        <v>63</v>
      </c>
      <c r="K96" s="30">
        <f t="shared" si="63"/>
        <v>25.500000000000004</v>
      </c>
      <c r="L96" s="30">
        <v>0</v>
      </c>
      <c r="M96" s="176">
        <f t="shared" si="65"/>
        <v>5596</v>
      </c>
      <c r="N96" s="28" t="str">
        <f>IF(M96&gt;0.49,"*","")</f>
        <v>*</v>
      </c>
      <c r="O96" s="48"/>
    </row>
    <row r="97" spans="2:14" ht="14.1" customHeight="1" x14ac:dyDescent="0.2">
      <c r="B97" s="43" t="s">
        <v>6</v>
      </c>
      <c r="C97" s="44" t="s">
        <v>7</v>
      </c>
      <c r="D97" s="35">
        <f>SUM(D94:D96)</f>
        <v>0</v>
      </c>
      <c r="E97" s="161">
        <f>SUM(E94:E96)</f>
        <v>97799</v>
      </c>
      <c r="F97" s="35">
        <f>SUM(F94:F96)</f>
        <v>3677.2424000000001</v>
      </c>
      <c r="G97" s="142"/>
      <c r="H97" s="35">
        <f>SUM(H94:H96)</f>
        <v>7481.6234999999997</v>
      </c>
      <c r="I97" s="35">
        <f>SUM(I94:I96)</f>
        <v>8712.3040000000001</v>
      </c>
      <c r="J97" s="142"/>
      <c r="K97" s="35">
        <f>SUM(K94:K96)</f>
        <v>498.77490000000006</v>
      </c>
      <c r="L97" s="35">
        <f>SUM(L94:L96)</f>
        <v>189</v>
      </c>
      <c r="M97" s="35">
        <f>SUM(M94:M96)</f>
        <v>118357.94480000001</v>
      </c>
      <c r="N97" s="28" t="str">
        <f>IF(M97&gt;0.49,"*","")</f>
        <v>*</v>
      </c>
    </row>
    <row r="98" spans="2:14" x14ac:dyDescent="0.2">
      <c r="B98" s="66"/>
      <c r="C98" s="48"/>
      <c r="D98" s="30"/>
      <c r="E98" s="163"/>
      <c r="F98" s="176"/>
      <c r="G98" s="142"/>
      <c r="J98" s="142"/>
      <c r="N98" s="28" t="str">
        <f>IF(N97="*","*","")</f>
        <v>*</v>
      </c>
    </row>
    <row r="99" spans="2:14" ht="13.15" hidden="1" customHeight="1" x14ac:dyDescent="0.2">
      <c r="B99" s="41" t="s">
        <v>15</v>
      </c>
      <c r="D99" s="158"/>
      <c r="E99" s="158">
        <f t="shared" ref="E99:E108" si="66">+D99*24*1.02</f>
        <v>0</v>
      </c>
      <c r="F99" s="30">
        <f t="shared" ref="F99:F108" si="67">IF(G99="Y",E99*$F$5," ")*0.5</f>
        <v>0</v>
      </c>
      <c r="G99" s="142" t="s">
        <v>101</v>
      </c>
      <c r="H99" s="30">
        <f>+$E99*$H$5</f>
        <v>0</v>
      </c>
      <c r="I99" s="30" t="str">
        <f t="shared" ref="I99:I108" si="68">IF(J99="Y",8712.304," ")</f>
        <v xml:space="preserve"> </v>
      </c>
      <c r="J99" s="142" t="s">
        <v>63</v>
      </c>
      <c r="K99" s="30">
        <f t="shared" ref="K99:K108" si="69">+$E99*$I$5</f>
        <v>0</v>
      </c>
      <c r="L99" s="30">
        <f t="shared" ref="L99:L108" si="70">IF(E99&gt;7000,7000*$K$5,E99*$K$5)</f>
        <v>0</v>
      </c>
      <c r="M99" s="176">
        <f t="shared" ref="M99:M108" si="71">SUM(H99:L99,E99:F99)</f>
        <v>0</v>
      </c>
      <c r="N99" s="28" t="str">
        <f t="shared" ref="N99:N104" si="72">IF(M99&gt;0.49,"*","")</f>
        <v/>
      </c>
    </row>
    <row r="100" spans="2:14" ht="13.15" hidden="1" customHeight="1" x14ac:dyDescent="0.2">
      <c r="B100" s="41" t="s">
        <v>15</v>
      </c>
      <c r="C100" s="49"/>
      <c r="D100" s="158"/>
      <c r="E100" s="158">
        <f t="shared" si="66"/>
        <v>0</v>
      </c>
      <c r="F100" s="30">
        <f t="shared" si="67"/>
        <v>0</v>
      </c>
      <c r="G100" s="142" t="s">
        <v>101</v>
      </c>
      <c r="H100" s="30">
        <f t="shared" ref="H100:H108" si="73">+$E100*$H$5</f>
        <v>0</v>
      </c>
      <c r="I100" s="30" t="str">
        <f t="shared" si="68"/>
        <v xml:space="preserve"> </v>
      </c>
      <c r="J100" s="142" t="s">
        <v>63</v>
      </c>
      <c r="K100" s="30">
        <f t="shared" si="69"/>
        <v>0</v>
      </c>
      <c r="L100" s="30">
        <f t="shared" si="70"/>
        <v>0</v>
      </c>
      <c r="M100" s="176">
        <f t="shared" si="71"/>
        <v>0</v>
      </c>
      <c r="N100" s="28" t="str">
        <f t="shared" si="72"/>
        <v/>
      </c>
    </row>
    <row r="101" spans="2:14" x14ac:dyDescent="0.2">
      <c r="B101" s="41" t="s">
        <v>15</v>
      </c>
      <c r="C101" s="49" t="s">
        <v>266</v>
      </c>
      <c r="D101" s="158"/>
      <c r="E101" s="158">
        <v>32250</v>
      </c>
      <c r="F101" s="30">
        <f t="shared" si="67"/>
        <v>1212.6000000000001</v>
      </c>
      <c r="G101" s="142" t="s">
        <v>101</v>
      </c>
      <c r="H101" s="30">
        <f t="shared" si="73"/>
        <v>2467.125</v>
      </c>
      <c r="I101" s="30">
        <f t="shared" si="68"/>
        <v>8712.3040000000001</v>
      </c>
      <c r="J101" s="142" t="s">
        <v>101</v>
      </c>
      <c r="K101" s="30">
        <f t="shared" si="69"/>
        <v>164.47500000000002</v>
      </c>
      <c r="L101" s="30">
        <f t="shared" si="70"/>
        <v>189</v>
      </c>
      <c r="M101" s="176">
        <f t="shared" si="71"/>
        <v>44995.504000000001</v>
      </c>
      <c r="N101" s="28" t="str">
        <f t="shared" si="72"/>
        <v>*</v>
      </c>
    </row>
    <row r="102" spans="2:14" ht="14.1" customHeight="1" x14ac:dyDescent="0.2">
      <c r="B102" s="41" t="s">
        <v>15</v>
      </c>
      <c r="C102" s="49" t="s">
        <v>274</v>
      </c>
      <c r="D102" s="158"/>
      <c r="E102" s="158">
        <v>62000</v>
      </c>
      <c r="F102" s="30">
        <f t="shared" si="67"/>
        <v>2331.2000000000003</v>
      </c>
      <c r="G102" s="142" t="s">
        <v>101</v>
      </c>
      <c r="H102" s="30">
        <f t="shared" si="73"/>
        <v>4743</v>
      </c>
      <c r="I102" s="30">
        <f t="shared" si="68"/>
        <v>8712.3040000000001</v>
      </c>
      <c r="J102" s="142" t="s">
        <v>101</v>
      </c>
      <c r="K102" s="30">
        <f t="shared" si="69"/>
        <v>316.20000000000005</v>
      </c>
      <c r="L102" s="30">
        <f t="shared" si="70"/>
        <v>189</v>
      </c>
      <c r="M102" s="176">
        <f t="shared" si="71"/>
        <v>78291.703999999998</v>
      </c>
      <c r="N102" s="28" t="str">
        <f t="shared" si="72"/>
        <v>*</v>
      </c>
    </row>
    <row r="103" spans="2:14" ht="14.1" customHeight="1" x14ac:dyDescent="0.2">
      <c r="B103" s="41" t="s">
        <v>15</v>
      </c>
      <c r="C103" s="49" t="s">
        <v>276</v>
      </c>
      <c r="D103" s="158"/>
      <c r="E103" s="158">
        <v>31500</v>
      </c>
      <c r="F103" s="30">
        <f t="shared" si="67"/>
        <v>1184.4000000000001</v>
      </c>
      <c r="G103" s="142" t="s">
        <v>101</v>
      </c>
      <c r="H103" s="30">
        <f t="shared" si="73"/>
        <v>2409.75</v>
      </c>
      <c r="I103" s="30" t="str">
        <f t="shared" si="68"/>
        <v xml:space="preserve"> </v>
      </c>
      <c r="J103" s="142" t="s">
        <v>63</v>
      </c>
      <c r="K103" s="30">
        <f t="shared" si="69"/>
        <v>160.65</v>
      </c>
      <c r="L103" s="30">
        <f t="shared" si="70"/>
        <v>189</v>
      </c>
      <c r="M103" s="176">
        <f t="shared" si="71"/>
        <v>35443.800000000003</v>
      </c>
      <c r="N103" s="28" t="str">
        <f t="shared" si="72"/>
        <v>*</v>
      </c>
    </row>
    <row r="104" spans="2:14" ht="14.1" customHeight="1" x14ac:dyDescent="0.2">
      <c r="B104" s="41" t="s">
        <v>15</v>
      </c>
      <c r="C104" s="49" t="s">
        <v>280</v>
      </c>
      <c r="D104" s="158"/>
      <c r="E104" s="158">
        <v>35966</v>
      </c>
      <c r="F104" s="30">
        <f t="shared" si="67"/>
        <v>1352.3216</v>
      </c>
      <c r="G104" s="142" t="s">
        <v>101</v>
      </c>
      <c r="H104" s="30">
        <f t="shared" si="73"/>
        <v>2751.3989999999999</v>
      </c>
      <c r="I104" s="30">
        <f t="shared" si="68"/>
        <v>8712.3040000000001</v>
      </c>
      <c r="J104" s="142" t="s">
        <v>101</v>
      </c>
      <c r="K104" s="30">
        <f t="shared" si="69"/>
        <v>183.42660000000001</v>
      </c>
      <c r="L104" s="30">
        <f t="shared" si="70"/>
        <v>189</v>
      </c>
      <c r="M104" s="176">
        <f t="shared" si="71"/>
        <v>49154.451200000003</v>
      </c>
      <c r="N104" s="28" t="str">
        <f t="shared" si="72"/>
        <v>*</v>
      </c>
    </row>
    <row r="105" spans="2:14" ht="14.1" customHeight="1" x14ac:dyDescent="0.2">
      <c r="B105" s="41" t="s">
        <v>15</v>
      </c>
      <c r="C105" s="49" t="s">
        <v>310</v>
      </c>
      <c r="D105" s="160"/>
      <c r="E105" s="158">
        <f>9.05*25*48</f>
        <v>10860.000000000002</v>
      </c>
      <c r="F105" s="30">
        <f t="shared" si="67"/>
        <v>408.33600000000007</v>
      </c>
      <c r="G105" s="142" t="s">
        <v>101</v>
      </c>
      <c r="H105" s="30">
        <f t="shared" si="73"/>
        <v>830.79000000000008</v>
      </c>
      <c r="I105" s="30" t="str">
        <f t="shared" si="68"/>
        <v xml:space="preserve"> </v>
      </c>
      <c r="J105" s="142" t="s">
        <v>63</v>
      </c>
      <c r="K105" s="30">
        <f t="shared" si="69"/>
        <v>55.38600000000001</v>
      </c>
      <c r="L105" s="30">
        <f t="shared" si="70"/>
        <v>189</v>
      </c>
      <c r="M105" s="176">
        <f t="shared" si="71"/>
        <v>12343.512000000001</v>
      </c>
      <c r="N105" s="28" t="str">
        <f>IF(M105&gt;0.49,"*","")</f>
        <v>*</v>
      </c>
    </row>
    <row r="106" spans="2:14" ht="14.1" hidden="1" customHeight="1" x14ac:dyDescent="0.2">
      <c r="B106" s="41" t="s">
        <v>15</v>
      </c>
      <c r="C106" s="42"/>
      <c r="D106" s="160"/>
      <c r="E106" s="158">
        <f t="shared" si="66"/>
        <v>0</v>
      </c>
      <c r="F106" s="30">
        <f t="shared" si="67"/>
        <v>0</v>
      </c>
      <c r="G106" s="142" t="s">
        <v>101</v>
      </c>
      <c r="H106" s="30">
        <f t="shared" si="73"/>
        <v>0</v>
      </c>
      <c r="I106" s="30" t="str">
        <f t="shared" si="68"/>
        <v xml:space="preserve"> </v>
      </c>
      <c r="J106" s="142" t="s">
        <v>63</v>
      </c>
      <c r="K106" s="30">
        <f t="shared" si="69"/>
        <v>0</v>
      </c>
      <c r="L106" s="30">
        <f t="shared" si="70"/>
        <v>0</v>
      </c>
      <c r="M106" s="176">
        <f t="shared" si="71"/>
        <v>0</v>
      </c>
      <c r="N106" s="28" t="str">
        <f>IF(M106&gt;0.49,"*","")</f>
        <v/>
      </c>
    </row>
    <row r="107" spans="2:14" ht="14.1" hidden="1" customHeight="1" x14ac:dyDescent="0.2">
      <c r="B107" s="41" t="s">
        <v>15</v>
      </c>
      <c r="C107" s="42"/>
      <c r="D107" s="160"/>
      <c r="E107" s="158">
        <f t="shared" si="66"/>
        <v>0</v>
      </c>
      <c r="F107" s="30">
        <f t="shared" si="67"/>
        <v>0</v>
      </c>
      <c r="G107" s="142" t="s">
        <v>101</v>
      </c>
      <c r="H107" s="30">
        <f t="shared" si="73"/>
        <v>0</v>
      </c>
      <c r="I107" s="30" t="str">
        <f t="shared" si="68"/>
        <v xml:space="preserve"> </v>
      </c>
      <c r="J107" s="142" t="s">
        <v>63</v>
      </c>
      <c r="K107" s="30">
        <f t="shared" si="69"/>
        <v>0</v>
      </c>
      <c r="L107" s="30">
        <f t="shared" si="70"/>
        <v>0</v>
      </c>
      <c r="M107" s="176">
        <f t="shared" si="71"/>
        <v>0</v>
      </c>
      <c r="N107" s="28" t="str">
        <f>IF(M107&gt;0.49,"*","")</f>
        <v/>
      </c>
    </row>
    <row r="108" spans="2:14" ht="14.1" hidden="1" customHeight="1" x14ac:dyDescent="0.2">
      <c r="B108" s="41" t="s">
        <v>15</v>
      </c>
      <c r="C108" s="42"/>
      <c r="D108" s="160"/>
      <c r="E108" s="158">
        <f t="shared" si="66"/>
        <v>0</v>
      </c>
      <c r="F108" s="30">
        <f t="shared" si="67"/>
        <v>0</v>
      </c>
      <c r="G108" s="142" t="s">
        <v>101</v>
      </c>
      <c r="H108" s="30">
        <f t="shared" si="73"/>
        <v>0</v>
      </c>
      <c r="I108" s="30" t="str">
        <f t="shared" si="68"/>
        <v xml:space="preserve"> </v>
      </c>
      <c r="J108" s="142" t="s">
        <v>63</v>
      </c>
      <c r="K108" s="30">
        <f t="shared" si="69"/>
        <v>0</v>
      </c>
      <c r="L108" s="30">
        <f t="shared" si="70"/>
        <v>0</v>
      </c>
      <c r="M108" s="176">
        <f t="shared" si="71"/>
        <v>0</v>
      </c>
      <c r="N108" s="28" t="str">
        <f>IF(M108&gt;0.49,"*","")</f>
        <v/>
      </c>
    </row>
    <row r="109" spans="2:14" ht="14.1" customHeight="1" x14ac:dyDescent="0.2">
      <c r="B109" s="43" t="s">
        <v>8</v>
      </c>
      <c r="C109" s="44" t="s">
        <v>9</v>
      </c>
      <c r="D109" s="35">
        <f>SUM(D99:D108)</f>
        <v>0</v>
      </c>
      <c r="E109" s="161">
        <f>SUM(E99:E108)</f>
        <v>172576</v>
      </c>
      <c r="F109" s="35">
        <f>SUM(F99:F108)</f>
        <v>6488.8576000000012</v>
      </c>
      <c r="G109" s="142"/>
      <c r="H109" s="35">
        <f>SUM(H99:H108)</f>
        <v>13202.064</v>
      </c>
      <c r="I109" s="35">
        <f>SUM(I99:I108)</f>
        <v>26136.912</v>
      </c>
      <c r="J109" s="142"/>
      <c r="K109" s="35">
        <f>SUM(K99:K108)</f>
        <v>880.13760000000002</v>
      </c>
      <c r="L109" s="35">
        <f>SUM(L99:L108)</f>
        <v>945</v>
      </c>
      <c r="M109" s="35">
        <f>SUM(M99:M108)</f>
        <v>220228.9712</v>
      </c>
      <c r="N109" s="28" t="str">
        <f>IF(M109&gt;0.49,"*","")</f>
        <v>*</v>
      </c>
    </row>
    <row r="110" spans="2:14" ht="14.1" customHeight="1" x14ac:dyDescent="0.2">
      <c r="B110" s="48"/>
      <c r="C110" s="48"/>
      <c r="D110" s="160"/>
      <c r="E110" s="163"/>
      <c r="F110" s="176"/>
      <c r="G110" s="142"/>
      <c r="J110" s="142"/>
      <c r="N110" s="28" t="str">
        <f>IF(N109="*","*","")</f>
        <v>*</v>
      </c>
    </row>
    <row r="111" spans="2:14" ht="14.1" hidden="1" customHeight="1" x14ac:dyDescent="0.2">
      <c r="B111" s="41" t="s">
        <v>18</v>
      </c>
      <c r="C111" s="49"/>
      <c r="D111" s="160"/>
      <c r="E111" s="158">
        <f t="shared" ref="E111:E116" si="74">+D111*24*1.02</f>
        <v>0</v>
      </c>
      <c r="F111" s="30">
        <f t="shared" ref="F111:F116" si="75">IF(G111="Y",E111*$F$5," ")*0.5</f>
        <v>0</v>
      </c>
      <c r="G111" s="142" t="s">
        <v>101</v>
      </c>
      <c r="H111" s="30">
        <f t="shared" ref="H111:H116" si="76">+$E111*$H$5</f>
        <v>0</v>
      </c>
      <c r="I111" s="30" t="str">
        <f t="shared" ref="I111:I116" si="77">IF(J111="Y",8712.304," ")</f>
        <v xml:space="preserve"> </v>
      </c>
      <c r="J111" s="142" t="s">
        <v>63</v>
      </c>
      <c r="K111" s="30">
        <f>+$E111*$I$7</f>
        <v>0</v>
      </c>
      <c r="L111" s="30">
        <f t="shared" ref="L111:L116" si="78">IF(E111&gt;7000,7000*$K$5,E111*$K$5)</f>
        <v>0</v>
      </c>
      <c r="M111" s="176">
        <f t="shared" ref="M111:M116" si="79">SUM(H111:L111,E111:F111)</f>
        <v>0</v>
      </c>
      <c r="N111" s="28" t="str">
        <f t="shared" ref="N111:N117" si="80">IF(M111&gt;0.49,"*","")</f>
        <v/>
      </c>
    </row>
    <row r="112" spans="2:14" ht="14.1" hidden="1" customHeight="1" x14ac:dyDescent="0.2">
      <c r="B112" s="41" t="s">
        <v>18</v>
      </c>
      <c r="C112" s="49"/>
      <c r="D112" s="160"/>
      <c r="E112" s="158">
        <f t="shared" si="74"/>
        <v>0</v>
      </c>
      <c r="F112" s="30">
        <f t="shared" si="75"/>
        <v>0</v>
      </c>
      <c r="G112" s="142" t="s">
        <v>101</v>
      </c>
      <c r="H112" s="30">
        <f t="shared" si="76"/>
        <v>0</v>
      </c>
      <c r="I112" s="30" t="str">
        <f t="shared" si="77"/>
        <v xml:space="preserve"> </v>
      </c>
      <c r="J112" s="142" t="s">
        <v>63</v>
      </c>
      <c r="K112" s="30">
        <f>+$E112*$I$7</f>
        <v>0</v>
      </c>
      <c r="L112" s="30">
        <f t="shared" si="78"/>
        <v>0</v>
      </c>
      <c r="M112" s="176">
        <f t="shared" si="79"/>
        <v>0</v>
      </c>
      <c r="N112" s="28" t="str">
        <f t="shared" si="80"/>
        <v/>
      </c>
    </row>
    <row r="113" spans="2:14" ht="14.1" hidden="1" customHeight="1" x14ac:dyDescent="0.2">
      <c r="B113" s="41" t="s">
        <v>18</v>
      </c>
      <c r="C113" s="42"/>
      <c r="D113" s="160"/>
      <c r="E113" s="158">
        <f t="shared" si="74"/>
        <v>0</v>
      </c>
      <c r="F113" s="30">
        <f t="shared" si="75"/>
        <v>0</v>
      </c>
      <c r="G113" s="142" t="s">
        <v>101</v>
      </c>
      <c r="H113" s="30">
        <f t="shared" si="76"/>
        <v>0</v>
      </c>
      <c r="I113" s="30" t="str">
        <f t="shared" si="77"/>
        <v xml:space="preserve"> </v>
      </c>
      <c r="J113" s="142" t="s">
        <v>63</v>
      </c>
      <c r="K113" s="30">
        <f t="shared" ref="K113:K116" si="81">+$E113*$I$7</f>
        <v>0</v>
      </c>
      <c r="L113" s="30">
        <f t="shared" si="78"/>
        <v>0</v>
      </c>
      <c r="M113" s="176">
        <f t="shared" si="79"/>
        <v>0</v>
      </c>
      <c r="N113" s="28" t="str">
        <f t="shared" si="80"/>
        <v/>
      </c>
    </row>
    <row r="114" spans="2:14" ht="14.1" hidden="1" customHeight="1" x14ac:dyDescent="0.2">
      <c r="B114" s="41" t="s">
        <v>18</v>
      </c>
      <c r="C114" s="42"/>
      <c r="D114" s="160"/>
      <c r="E114" s="158">
        <f t="shared" si="74"/>
        <v>0</v>
      </c>
      <c r="F114" s="30">
        <f t="shared" si="75"/>
        <v>0</v>
      </c>
      <c r="G114" s="142" t="s">
        <v>101</v>
      </c>
      <c r="H114" s="30">
        <f t="shared" si="76"/>
        <v>0</v>
      </c>
      <c r="I114" s="30" t="str">
        <f t="shared" si="77"/>
        <v xml:space="preserve"> </v>
      </c>
      <c r="J114" s="142" t="s">
        <v>63</v>
      </c>
      <c r="K114" s="30">
        <f t="shared" si="81"/>
        <v>0</v>
      </c>
      <c r="L114" s="30">
        <f t="shared" si="78"/>
        <v>0</v>
      </c>
      <c r="M114" s="176">
        <f t="shared" si="79"/>
        <v>0</v>
      </c>
      <c r="N114" s="28" t="str">
        <f>IF(M114&gt;0.49,"*","")</f>
        <v/>
      </c>
    </row>
    <row r="115" spans="2:14" ht="14.1" hidden="1" customHeight="1" x14ac:dyDescent="0.2">
      <c r="B115" s="41" t="s">
        <v>18</v>
      </c>
      <c r="C115" s="49"/>
      <c r="D115" s="159"/>
      <c r="E115" s="158">
        <f t="shared" si="74"/>
        <v>0</v>
      </c>
      <c r="F115" s="30">
        <f t="shared" si="75"/>
        <v>0</v>
      </c>
      <c r="G115" s="142" t="s">
        <v>101</v>
      </c>
      <c r="H115" s="30">
        <f t="shared" si="76"/>
        <v>0</v>
      </c>
      <c r="I115" s="30" t="str">
        <f t="shared" si="77"/>
        <v xml:space="preserve"> </v>
      </c>
      <c r="J115" s="142" t="s">
        <v>63</v>
      </c>
      <c r="K115" s="30">
        <f t="shared" si="81"/>
        <v>0</v>
      </c>
      <c r="L115" s="30">
        <f t="shared" si="78"/>
        <v>0</v>
      </c>
      <c r="M115" s="176">
        <f t="shared" si="79"/>
        <v>0</v>
      </c>
      <c r="N115" s="28" t="str">
        <f>IF(M115&gt;0.49,"*","")</f>
        <v/>
      </c>
    </row>
    <row r="116" spans="2:14" ht="14.1" hidden="1" customHeight="1" x14ac:dyDescent="0.2">
      <c r="B116" s="41" t="s">
        <v>18</v>
      </c>
      <c r="C116" s="42"/>
      <c r="D116" s="160"/>
      <c r="E116" s="158">
        <f t="shared" si="74"/>
        <v>0</v>
      </c>
      <c r="F116" s="30">
        <f t="shared" si="75"/>
        <v>0</v>
      </c>
      <c r="G116" s="142" t="s">
        <v>101</v>
      </c>
      <c r="H116" s="30">
        <f t="shared" si="76"/>
        <v>0</v>
      </c>
      <c r="I116" s="30" t="str">
        <f t="shared" si="77"/>
        <v xml:space="preserve"> </v>
      </c>
      <c r="J116" s="142" t="s">
        <v>63</v>
      </c>
      <c r="K116" s="30">
        <f t="shared" si="81"/>
        <v>0</v>
      </c>
      <c r="L116" s="30">
        <f t="shared" si="78"/>
        <v>0</v>
      </c>
      <c r="M116" s="176">
        <f t="shared" si="79"/>
        <v>0</v>
      </c>
      <c r="N116" s="28" t="str">
        <f t="shared" si="80"/>
        <v/>
      </c>
    </row>
    <row r="117" spans="2:14" ht="14.1" hidden="1" customHeight="1" x14ac:dyDescent="0.2">
      <c r="B117" s="43" t="s">
        <v>10</v>
      </c>
      <c r="C117" s="44" t="s">
        <v>11</v>
      </c>
      <c r="D117" s="35">
        <f>SUM(D111:D116)</f>
        <v>0</v>
      </c>
      <c r="E117" s="161">
        <f>SUM(E111:E116)</f>
        <v>0</v>
      </c>
      <c r="F117" s="35">
        <f t="shared" ref="F117:M117" si="82">SUM(F111:F116)</f>
        <v>0</v>
      </c>
      <c r="G117" s="142"/>
      <c r="H117" s="35">
        <f t="shared" si="82"/>
        <v>0</v>
      </c>
      <c r="I117" s="35">
        <f t="shared" si="82"/>
        <v>0</v>
      </c>
      <c r="J117" s="142"/>
      <c r="K117" s="35">
        <f t="shared" si="82"/>
        <v>0</v>
      </c>
      <c r="L117" s="35">
        <f t="shared" si="82"/>
        <v>0</v>
      </c>
      <c r="M117" s="35">
        <f t="shared" si="82"/>
        <v>0</v>
      </c>
      <c r="N117" s="28" t="str">
        <f t="shared" si="80"/>
        <v/>
      </c>
    </row>
    <row r="118" spans="2:14" ht="14.1" hidden="1" customHeight="1" x14ac:dyDescent="0.2">
      <c r="B118" s="66"/>
      <c r="C118" s="48"/>
      <c r="D118" s="30"/>
      <c r="E118" s="163"/>
      <c r="F118" s="176"/>
      <c r="G118" s="142"/>
      <c r="J118" s="142"/>
      <c r="N118" s="28" t="str">
        <f>IF(N117="*","*","")</f>
        <v/>
      </c>
    </row>
    <row r="119" spans="2:14" ht="14.1" hidden="1" customHeight="1" x14ac:dyDescent="0.2">
      <c r="B119" s="41" t="s">
        <v>20</v>
      </c>
      <c r="C119" s="49"/>
      <c r="D119" s="160"/>
      <c r="E119" s="158">
        <f>+D119*24*1.02</f>
        <v>0</v>
      </c>
      <c r="F119" s="30">
        <f t="shared" ref="F119:F122" si="83">IF(G119="Y",E119*$F$5," ")*0.5</f>
        <v>0</v>
      </c>
      <c r="G119" s="142" t="s">
        <v>101</v>
      </c>
      <c r="H119" s="30">
        <f>+$E119*$H$5</f>
        <v>0</v>
      </c>
      <c r="I119" s="30" t="str">
        <f>IF(J119="Y",8712.304," ")</f>
        <v xml:space="preserve"> </v>
      </c>
      <c r="J119" s="142" t="s">
        <v>63</v>
      </c>
      <c r="K119" s="30">
        <f t="shared" ref="K119:K122" si="84">+$E119*$I$7</f>
        <v>0</v>
      </c>
      <c r="L119" s="30">
        <f t="shared" ref="L119:L122" si="85">IF(E119&gt;7000,7000*$K$5,E119*$K$5)</f>
        <v>0</v>
      </c>
      <c r="M119" s="176">
        <f t="shared" ref="M119:M122" si="86">SUM(H119:L119,E119:F119)</f>
        <v>0</v>
      </c>
      <c r="N119" s="28" t="str">
        <f>IF(M119&gt;0.49,"*","")</f>
        <v/>
      </c>
    </row>
    <row r="120" spans="2:14" ht="14.1" hidden="1" customHeight="1" x14ac:dyDescent="0.2">
      <c r="B120" s="41" t="s">
        <v>20</v>
      </c>
      <c r="C120" s="49"/>
      <c r="D120" s="160"/>
      <c r="E120" s="158">
        <f>+D120*24*1.02</f>
        <v>0</v>
      </c>
      <c r="F120" s="30">
        <f t="shared" si="83"/>
        <v>0</v>
      </c>
      <c r="G120" s="142" t="s">
        <v>101</v>
      </c>
      <c r="H120" s="30">
        <f>+$E120*$H$5</f>
        <v>0</v>
      </c>
      <c r="I120" s="30" t="str">
        <f>IF(J120="Y",8712.304," ")</f>
        <v xml:space="preserve"> </v>
      </c>
      <c r="J120" s="142" t="s">
        <v>63</v>
      </c>
      <c r="K120" s="30">
        <f t="shared" si="84"/>
        <v>0</v>
      </c>
      <c r="L120" s="30">
        <f t="shared" si="85"/>
        <v>0</v>
      </c>
      <c r="M120" s="176">
        <f t="shared" si="86"/>
        <v>0</v>
      </c>
      <c r="N120" s="28" t="str">
        <f>IF(M120&gt;0.49,"*","")</f>
        <v/>
      </c>
    </row>
    <row r="121" spans="2:14" ht="14.1" hidden="1" customHeight="1" x14ac:dyDescent="0.2">
      <c r="B121" s="41" t="s">
        <v>20</v>
      </c>
      <c r="C121" s="49"/>
      <c r="D121" s="160"/>
      <c r="E121" s="158">
        <f>+D121*24*1.02</f>
        <v>0</v>
      </c>
      <c r="F121" s="30">
        <f t="shared" si="83"/>
        <v>0</v>
      </c>
      <c r="G121" s="142" t="s">
        <v>101</v>
      </c>
      <c r="H121" s="30">
        <f>+$E121*$H$5</f>
        <v>0</v>
      </c>
      <c r="I121" s="30" t="str">
        <f>IF(J121="Y",8712.304," ")</f>
        <v xml:space="preserve"> </v>
      </c>
      <c r="J121" s="142" t="s">
        <v>63</v>
      </c>
      <c r="K121" s="30">
        <f t="shared" si="84"/>
        <v>0</v>
      </c>
      <c r="L121" s="30">
        <f t="shared" si="85"/>
        <v>0</v>
      </c>
      <c r="M121" s="176">
        <f t="shared" si="86"/>
        <v>0</v>
      </c>
      <c r="N121" s="28" t="str">
        <f>IF(M121&gt;0.49,"*","")</f>
        <v/>
      </c>
    </row>
    <row r="122" spans="2:14" ht="14.1" hidden="1" customHeight="1" x14ac:dyDescent="0.2">
      <c r="B122" s="41" t="s">
        <v>20</v>
      </c>
      <c r="C122" s="42"/>
      <c r="D122" s="160"/>
      <c r="E122" s="158">
        <f>+D122*24*1.02</f>
        <v>0</v>
      </c>
      <c r="F122" s="30">
        <f t="shared" si="83"/>
        <v>0</v>
      </c>
      <c r="G122" s="142" t="s">
        <v>101</v>
      </c>
      <c r="H122" s="30">
        <f>+$E122*$H$5</f>
        <v>0</v>
      </c>
      <c r="I122" s="30" t="str">
        <f>IF(J122="Y",8712.304," ")</f>
        <v xml:space="preserve"> </v>
      </c>
      <c r="J122" s="142" t="s">
        <v>63</v>
      </c>
      <c r="K122" s="30">
        <f t="shared" si="84"/>
        <v>0</v>
      </c>
      <c r="L122" s="30">
        <f t="shared" si="85"/>
        <v>0</v>
      </c>
      <c r="M122" s="176">
        <f t="shared" si="86"/>
        <v>0</v>
      </c>
      <c r="N122" s="28" t="str">
        <f>IF(M122&gt;0.49,"*","")</f>
        <v/>
      </c>
    </row>
    <row r="123" spans="2:14" ht="14.1" hidden="1" customHeight="1" x14ac:dyDescent="0.2">
      <c r="B123" s="51">
        <v>10040007900165</v>
      </c>
      <c r="C123" s="44" t="s">
        <v>13</v>
      </c>
      <c r="D123" s="35">
        <f>SUM(D119:D122)</f>
        <v>0</v>
      </c>
      <c r="E123" s="162">
        <f>SUM(E119:E122)</f>
        <v>0</v>
      </c>
      <c r="F123" s="35">
        <f>SUM(F119:F122)</f>
        <v>0</v>
      </c>
      <c r="G123" s="142"/>
      <c r="H123" s="35">
        <f>SUM(H119:H122)</f>
        <v>0</v>
      </c>
      <c r="I123" s="35">
        <f>SUM(I119:I122)</f>
        <v>0</v>
      </c>
      <c r="J123" s="142"/>
      <c r="K123" s="35">
        <f>SUM(K119:K122)</f>
        <v>0</v>
      </c>
      <c r="L123" s="35">
        <f>SUM(L119:L122)</f>
        <v>0</v>
      </c>
      <c r="M123" s="35">
        <f>SUM(M119:M122)</f>
        <v>0</v>
      </c>
      <c r="N123" s="28" t="str">
        <f>IF(M123&gt;0.49,"*","")</f>
        <v/>
      </c>
    </row>
    <row r="124" spans="2:14" ht="14.1" hidden="1" customHeight="1" x14ac:dyDescent="0.2">
      <c r="B124" s="66"/>
      <c r="C124" s="48"/>
      <c r="D124" s="30"/>
      <c r="E124" s="163"/>
      <c r="F124" s="176"/>
      <c r="G124" s="142"/>
      <c r="J124" s="142"/>
      <c r="N124" s="28" t="str">
        <f>IF(N123="*","*","")</f>
        <v/>
      </c>
    </row>
    <row r="125" spans="2:14" ht="14.1" hidden="1" customHeight="1" x14ac:dyDescent="0.2">
      <c r="B125" s="41" t="s">
        <v>16</v>
      </c>
      <c r="C125" s="49"/>
      <c r="D125" s="160"/>
      <c r="E125" s="158">
        <f t="shared" ref="E125:E135" si="87">+D125*24*1.02</f>
        <v>0</v>
      </c>
      <c r="F125" s="30">
        <f t="shared" ref="F125:F135" si="88">IF(G125="Y",E125*$F$5," ")*0.5</f>
        <v>0</v>
      </c>
      <c r="G125" s="142" t="s">
        <v>101</v>
      </c>
      <c r="H125" s="30">
        <f t="shared" ref="H125:H135" si="89">+$E125*$H$5</f>
        <v>0</v>
      </c>
      <c r="I125" s="30" t="str">
        <f>IF(J125="Y",8712.304," ")</f>
        <v xml:space="preserve"> </v>
      </c>
      <c r="J125" s="142" t="s">
        <v>63</v>
      </c>
      <c r="K125" s="30">
        <f t="shared" ref="K125:K132" si="90">+$E125*$I$5</f>
        <v>0</v>
      </c>
      <c r="L125" s="30">
        <f t="shared" ref="L125:L135" si="91">IF(E125&gt;7000,7000*$K$5,E125*$K$5)</f>
        <v>0</v>
      </c>
      <c r="M125" s="176">
        <f t="shared" ref="M125:M135" si="92">SUM(H125:L125,E125:F125)</f>
        <v>0</v>
      </c>
      <c r="N125" s="28" t="str">
        <f t="shared" ref="N125:N137" si="93">IF(M125&gt;0.49,"*","")</f>
        <v/>
      </c>
    </row>
    <row r="126" spans="2:14" ht="14.1" hidden="1" customHeight="1" x14ac:dyDescent="0.2">
      <c r="B126" s="41" t="s">
        <v>16</v>
      </c>
      <c r="C126" s="49"/>
      <c r="D126" s="160"/>
      <c r="E126" s="158">
        <f t="shared" si="87"/>
        <v>0</v>
      </c>
      <c r="F126" s="30">
        <f t="shared" si="88"/>
        <v>0</v>
      </c>
      <c r="G126" s="142" t="s">
        <v>101</v>
      </c>
      <c r="H126" s="30">
        <f t="shared" si="89"/>
        <v>0</v>
      </c>
      <c r="I126" s="30" t="str">
        <f>IF(J126="Y",8712.304," ")</f>
        <v xml:space="preserve"> </v>
      </c>
      <c r="J126" s="142" t="s">
        <v>63</v>
      </c>
      <c r="K126" s="30">
        <f>+$E126*$I$5</f>
        <v>0</v>
      </c>
      <c r="L126" s="30">
        <f t="shared" si="91"/>
        <v>0</v>
      </c>
      <c r="M126" s="176">
        <f t="shared" si="92"/>
        <v>0</v>
      </c>
      <c r="N126" s="28" t="str">
        <f t="shared" si="93"/>
        <v/>
      </c>
    </row>
    <row r="127" spans="2:14" ht="14.1" hidden="1" customHeight="1" x14ac:dyDescent="0.2">
      <c r="B127" s="41" t="s">
        <v>16</v>
      </c>
      <c r="C127" s="49"/>
      <c r="D127" s="160"/>
      <c r="E127" s="158">
        <f t="shared" si="87"/>
        <v>0</v>
      </c>
      <c r="F127" s="30">
        <f t="shared" si="88"/>
        <v>0</v>
      </c>
      <c r="G127" s="142" t="s">
        <v>101</v>
      </c>
      <c r="H127" s="30">
        <f t="shared" si="89"/>
        <v>0</v>
      </c>
      <c r="I127" s="30" t="str">
        <f>IF(J127="Y",8712.304," ")</f>
        <v xml:space="preserve"> </v>
      </c>
      <c r="J127" s="142" t="s">
        <v>63</v>
      </c>
      <c r="K127" s="30">
        <f t="shared" si="90"/>
        <v>0</v>
      </c>
      <c r="L127" s="30">
        <f t="shared" si="91"/>
        <v>0</v>
      </c>
      <c r="M127" s="176">
        <f t="shared" si="92"/>
        <v>0</v>
      </c>
      <c r="N127" s="28" t="str">
        <f t="shared" si="93"/>
        <v/>
      </c>
    </row>
    <row r="128" spans="2:14" ht="14.1" hidden="1" customHeight="1" x14ac:dyDescent="0.2">
      <c r="B128" s="41" t="s">
        <v>16</v>
      </c>
      <c r="C128" s="49"/>
      <c r="D128" s="160"/>
      <c r="E128" s="158">
        <f t="shared" si="87"/>
        <v>0</v>
      </c>
      <c r="F128" s="30">
        <f t="shared" si="88"/>
        <v>0</v>
      </c>
      <c r="G128" s="142" t="s">
        <v>101</v>
      </c>
      <c r="H128" s="30">
        <f t="shared" si="89"/>
        <v>0</v>
      </c>
      <c r="I128" s="30" t="str">
        <f>IF(J116="Y",8712.304," ")</f>
        <v xml:space="preserve"> </v>
      </c>
      <c r="J128" s="142" t="s">
        <v>63</v>
      </c>
      <c r="K128" s="30">
        <f t="shared" si="90"/>
        <v>0</v>
      </c>
      <c r="L128" s="30">
        <f t="shared" si="91"/>
        <v>0</v>
      </c>
      <c r="M128" s="176">
        <f t="shared" si="92"/>
        <v>0</v>
      </c>
      <c r="N128" s="28" t="str">
        <f t="shared" si="93"/>
        <v/>
      </c>
    </row>
    <row r="129" spans="1:14" ht="14.1" hidden="1" customHeight="1" x14ac:dyDescent="0.2">
      <c r="B129" s="41" t="s">
        <v>16</v>
      </c>
      <c r="C129" s="49"/>
      <c r="D129" s="160"/>
      <c r="E129" s="158">
        <f t="shared" si="87"/>
        <v>0</v>
      </c>
      <c r="F129" s="30">
        <f t="shared" si="88"/>
        <v>0</v>
      </c>
      <c r="G129" s="142" t="s">
        <v>101</v>
      </c>
      <c r="H129" s="30">
        <f t="shared" si="89"/>
        <v>0</v>
      </c>
      <c r="I129" s="30" t="str">
        <f t="shared" ref="I129:I135" si="94">IF(J129="Y",8712.304," ")</f>
        <v xml:space="preserve"> </v>
      </c>
      <c r="J129" s="142" t="s">
        <v>63</v>
      </c>
      <c r="K129" s="30">
        <f t="shared" si="90"/>
        <v>0</v>
      </c>
      <c r="L129" s="30">
        <f t="shared" si="91"/>
        <v>0</v>
      </c>
      <c r="M129" s="176">
        <f t="shared" si="92"/>
        <v>0</v>
      </c>
      <c r="N129" s="28" t="str">
        <f t="shared" si="93"/>
        <v/>
      </c>
    </row>
    <row r="130" spans="1:14" ht="14.1" hidden="1" customHeight="1" x14ac:dyDescent="0.2">
      <c r="B130" s="41" t="s">
        <v>16</v>
      </c>
      <c r="C130" s="49"/>
      <c r="D130" s="160"/>
      <c r="E130" s="158">
        <f t="shared" si="87"/>
        <v>0</v>
      </c>
      <c r="F130" s="30">
        <f t="shared" si="88"/>
        <v>0</v>
      </c>
      <c r="G130" s="142" t="s">
        <v>101</v>
      </c>
      <c r="H130" s="30">
        <f t="shared" si="89"/>
        <v>0</v>
      </c>
      <c r="I130" s="30" t="str">
        <f t="shared" si="94"/>
        <v xml:space="preserve"> </v>
      </c>
      <c r="J130" s="142" t="s">
        <v>63</v>
      </c>
      <c r="K130" s="30">
        <f t="shared" si="90"/>
        <v>0</v>
      </c>
      <c r="L130" s="30">
        <f t="shared" si="91"/>
        <v>0</v>
      </c>
      <c r="M130" s="176">
        <f t="shared" si="92"/>
        <v>0</v>
      </c>
      <c r="N130" s="28" t="str">
        <f t="shared" si="93"/>
        <v/>
      </c>
    </row>
    <row r="131" spans="1:14" ht="14.1" hidden="1" customHeight="1" x14ac:dyDescent="0.2">
      <c r="B131" s="41" t="s">
        <v>16</v>
      </c>
      <c r="C131" s="49"/>
      <c r="D131" s="160"/>
      <c r="E131" s="158">
        <f t="shared" si="87"/>
        <v>0</v>
      </c>
      <c r="F131" s="30">
        <f t="shared" si="88"/>
        <v>0</v>
      </c>
      <c r="G131" s="142" t="s">
        <v>101</v>
      </c>
      <c r="H131" s="30">
        <f t="shared" si="89"/>
        <v>0</v>
      </c>
      <c r="I131" s="30" t="str">
        <f t="shared" si="94"/>
        <v xml:space="preserve"> </v>
      </c>
      <c r="J131" s="142" t="s">
        <v>63</v>
      </c>
      <c r="K131" s="30">
        <f t="shared" si="90"/>
        <v>0</v>
      </c>
      <c r="L131" s="30">
        <f t="shared" si="91"/>
        <v>0</v>
      </c>
      <c r="M131" s="176">
        <f t="shared" si="92"/>
        <v>0</v>
      </c>
      <c r="N131" s="28" t="str">
        <f t="shared" si="93"/>
        <v/>
      </c>
    </row>
    <row r="132" spans="1:14" ht="14.1" hidden="1" customHeight="1" x14ac:dyDescent="0.2">
      <c r="B132" s="41" t="s">
        <v>16</v>
      </c>
      <c r="C132" s="49"/>
      <c r="D132" s="160"/>
      <c r="E132" s="158">
        <f t="shared" si="87"/>
        <v>0</v>
      </c>
      <c r="F132" s="30">
        <f t="shared" si="88"/>
        <v>0</v>
      </c>
      <c r="G132" s="142" t="s">
        <v>101</v>
      </c>
      <c r="H132" s="30">
        <f t="shared" si="89"/>
        <v>0</v>
      </c>
      <c r="I132" s="30" t="str">
        <f t="shared" si="94"/>
        <v xml:space="preserve"> </v>
      </c>
      <c r="J132" s="142" t="s">
        <v>63</v>
      </c>
      <c r="K132" s="30">
        <f t="shared" si="90"/>
        <v>0</v>
      </c>
      <c r="L132" s="30">
        <f t="shared" si="91"/>
        <v>0</v>
      </c>
      <c r="M132" s="176">
        <f t="shared" si="92"/>
        <v>0</v>
      </c>
      <c r="N132" s="28" t="str">
        <f t="shared" si="93"/>
        <v/>
      </c>
    </row>
    <row r="133" spans="1:14" ht="14.1" hidden="1" customHeight="1" x14ac:dyDescent="0.2">
      <c r="B133" s="41" t="s">
        <v>16</v>
      </c>
      <c r="C133" s="42"/>
      <c r="D133" s="160"/>
      <c r="E133" s="158">
        <f t="shared" si="87"/>
        <v>0</v>
      </c>
      <c r="F133" s="30">
        <f t="shared" si="88"/>
        <v>0</v>
      </c>
      <c r="G133" s="142" t="s">
        <v>101</v>
      </c>
      <c r="H133" s="30">
        <f t="shared" si="89"/>
        <v>0</v>
      </c>
      <c r="I133" s="30" t="str">
        <f t="shared" si="94"/>
        <v xml:space="preserve"> </v>
      </c>
      <c r="J133" s="142" t="s">
        <v>63</v>
      </c>
      <c r="K133" s="30">
        <f>+$E133*$I$5</f>
        <v>0</v>
      </c>
      <c r="L133" s="30">
        <f t="shared" si="91"/>
        <v>0</v>
      </c>
      <c r="M133" s="176">
        <f t="shared" si="92"/>
        <v>0</v>
      </c>
      <c r="N133" s="28" t="str">
        <f t="shared" si="93"/>
        <v/>
      </c>
    </row>
    <row r="134" spans="1:14" ht="14.1" hidden="1" customHeight="1" x14ac:dyDescent="0.2">
      <c r="B134" s="41" t="s">
        <v>16</v>
      </c>
      <c r="C134" s="42"/>
      <c r="D134" s="160"/>
      <c r="E134" s="158">
        <f t="shared" si="87"/>
        <v>0</v>
      </c>
      <c r="F134" s="30">
        <f t="shared" si="88"/>
        <v>0</v>
      </c>
      <c r="G134" s="142" t="s">
        <v>101</v>
      </c>
      <c r="H134" s="30">
        <f t="shared" si="89"/>
        <v>0</v>
      </c>
      <c r="I134" s="30" t="str">
        <f t="shared" si="94"/>
        <v xml:space="preserve"> </v>
      </c>
      <c r="J134" s="142" t="s">
        <v>63</v>
      </c>
      <c r="K134" s="30">
        <f>+$E134*$I$5</f>
        <v>0</v>
      </c>
      <c r="L134" s="30">
        <f t="shared" si="91"/>
        <v>0</v>
      </c>
      <c r="M134" s="176">
        <f t="shared" si="92"/>
        <v>0</v>
      </c>
      <c r="N134" s="28" t="str">
        <f t="shared" si="93"/>
        <v/>
      </c>
    </row>
    <row r="135" spans="1:14" ht="14.1" hidden="1" customHeight="1" x14ac:dyDescent="0.2">
      <c r="B135" s="41" t="s">
        <v>16</v>
      </c>
      <c r="C135" s="42"/>
      <c r="D135" s="160"/>
      <c r="E135" s="158">
        <f t="shared" si="87"/>
        <v>0</v>
      </c>
      <c r="F135" s="30">
        <f t="shared" si="88"/>
        <v>0</v>
      </c>
      <c r="G135" s="142" t="s">
        <v>101</v>
      </c>
      <c r="H135" s="30">
        <f t="shared" si="89"/>
        <v>0</v>
      </c>
      <c r="I135" s="30" t="str">
        <f t="shared" si="94"/>
        <v xml:space="preserve"> </v>
      </c>
      <c r="J135" s="142" t="s">
        <v>63</v>
      </c>
      <c r="K135" s="30">
        <f>+$E135*$I$5</f>
        <v>0</v>
      </c>
      <c r="L135" s="30">
        <f t="shared" si="91"/>
        <v>0</v>
      </c>
      <c r="M135" s="176">
        <f t="shared" si="92"/>
        <v>0</v>
      </c>
      <c r="N135" s="28" t="str">
        <f t="shared" si="93"/>
        <v/>
      </c>
    </row>
    <row r="136" spans="1:14" ht="14.1" hidden="1" customHeight="1" x14ac:dyDescent="0.2">
      <c r="B136" s="68" t="s">
        <v>85</v>
      </c>
      <c r="C136" s="44" t="s">
        <v>70</v>
      </c>
      <c r="D136" s="35">
        <f>SUM(D125:D135)</f>
        <v>0</v>
      </c>
      <c r="E136" s="162">
        <f>SUM(E125:E135)</f>
        <v>0</v>
      </c>
      <c r="F136" s="35">
        <f>SUM(F125:F135)</f>
        <v>0</v>
      </c>
      <c r="G136" s="142"/>
      <c r="H136" s="35">
        <f>SUM(H125:H135)</f>
        <v>0</v>
      </c>
      <c r="I136" s="35">
        <f>SUM(I125:I135)</f>
        <v>0</v>
      </c>
      <c r="J136" s="142"/>
      <c r="K136" s="35">
        <f>SUM(K125:K135)</f>
        <v>0</v>
      </c>
      <c r="L136" s="35">
        <f>SUM(L125:L135)</f>
        <v>0</v>
      </c>
      <c r="M136" s="35">
        <f>SUM(M125:M135)</f>
        <v>0</v>
      </c>
      <c r="N136" s="28" t="str">
        <f t="shared" si="93"/>
        <v/>
      </c>
    </row>
    <row r="137" spans="1:14" ht="14.1" customHeight="1" x14ac:dyDescent="0.2">
      <c r="B137" s="48"/>
      <c r="C137" s="48"/>
      <c r="D137" s="164">
        <f>SUM(D136,D123,D117,D109,D97,D76,D80,D84,D92,D43,D69,D51,D35,D24)</f>
        <v>0</v>
      </c>
      <c r="E137" s="165">
        <f>SUM(E136,E123,E117,E109,E97,E76,E80,E84,E88,E92,E43,E69,E51,E35,E24)</f>
        <v>1023664.75</v>
      </c>
      <c r="F137" s="165">
        <f t="shared" ref="F137:M137" si="95">SUM(F136,F123,F117,F109,F97,F76,F80,F84,F88,F92,F43,F69,F51,F35,F24)</f>
        <v>38489.794600000001</v>
      </c>
      <c r="G137" s="165">
        <f t="shared" si="95"/>
        <v>0</v>
      </c>
      <c r="H137" s="165">
        <f t="shared" si="95"/>
        <v>78310.353375000006</v>
      </c>
      <c r="I137" s="165">
        <f t="shared" si="95"/>
        <v>139396.864</v>
      </c>
      <c r="J137" s="165">
        <f t="shared" si="95"/>
        <v>0</v>
      </c>
      <c r="K137" s="165">
        <f t="shared" si="95"/>
        <v>5220.6902250000003</v>
      </c>
      <c r="L137" s="165">
        <f t="shared" si="95"/>
        <v>4384.8</v>
      </c>
      <c r="M137" s="165">
        <f t="shared" si="95"/>
        <v>1289467.2522</v>
      </c>
      <c r="N137" s="28" t="str">
        <f t="shared" si="93"/>
        <v>*</v>
      </c>
    </row>
    <row r="138" spans="1:14" ht="12.75" hidden="1" customHeight="1" x14ac:dyDescent="0.2">
      <c r="E138" s="166">
        <f>+E137/M137</f>
        <v>0.79386641906065769</v>
      </c>
      <c r="F138" s="166"/>
      <c r="G138" s="177"/>
      <c r="H138" s="168">
        <f>+H137/E137</f>
        <v>7.6500000000000012E-2</v>
      </c>
      <c r="I138" s="168">
        <f>+I137/E137</f>
        <v>0.13617433246578042</v>
      </c>
      <c r="J138" s="177"/>
      <c r="K138" s="168">
        <f>+K137/E137</f>
        <v>5.1000000000000004E-3</v>
      </c>
      <c r="L138" s="166">
        <f>+L137/E137</f>
        <v>4.2834336143742378E-3</v>
      </c>
      <c r="M138" s="166">
        <f>+M137/E137</f>
        <v>1.2596577660801547</v>
      </c>
    </row>
    <row r="139" spans="1:14" s="60" customFormat="1" ht="12.75" hidden="1" customHeight="1" x14ac:dyDescent="0.2">
      <c r="A139" s="145"/>
      <c r="D139" s="87"/>
      <c r="E139" s="146"/>
      <c r="F139" s="146">
        <v>210</v>
      </c>
      <c r="G139" s="147"/>
      <c r="H139" s="146">
        <v>220</v>
      </c>
      <c r="I139" s="146">
        <v>230</v>
      </c>
      <c r="J139" s="147">
        <v>240</v>
      </c>
      <c r="K139" s="146">
        <v>240</v>
      </c>
      <c r="L139" s="146">
        <v>250</v>
      </c>
      <c r="M139" s="146"/>
    </row>
    <row r="140" spans="1:14" ht="12.75" hidden="1" customHeight="1" x14ac:dyDescent="0.2">
      <c r="E140" s="87"/>
      <c r="H140" s="87"/>
      <c r="I140" s="87"/>
      <c r="K140" s="87"/>
      <c r="L140" s="87"/>
    </row>
    <row r="141" spans="1:14" ht="12.75" hidden="1" customHeight="1" x14ac:dyDescent="0.2">
      <c r="D141" s="149" t="s">
        <v>169</v>
      </c>
      <c r="E141" s="30">
        <v>915946.39200000011</v>
      </c>
      <c r="F141" s="150">
        <f>E147/E141</f>
        <v>1.162453322675163</v>
      </c>
    </row>
    <row r="142" spans="1:14" ht="12.75" hidden="1" customHeight="1" x14ac:dyDescent="0.2">
      <c r="D142" s="149">
        <v>210</v>
      </c>
      <c r="E142" s="30">
        <v>2246</v>
      </c>
      <c r="F142" s="151">
        <v>2.4521085727471264E-3</v>
      </c>
    </row>
    <row r="143" spans="1:14" ht="12.75" hidden="1" customHeight="1" x14ac:dyDescent="0.2">
      <c r="D143" s="149">
        <v>220</v>
      </c>
      <c r="E143" s="30">
        <v>65298.096000000005</v>
      </c>
      <c r="F143" s="151">
        <v>7.1290303199316493E-2</v>
      </c>
    </row>
    <row r="144" spans="1:14" ht="12.75" hidden="1" customHeight="1" x14ac:dyDescent="0.2">
      <c r="D144" s="149">
        <v>230</v>
      </c>
      <c r="E144" s="30">
        <v>72124.527272727268</v>
      </c>
      <c r="F144" s="151">
        <v>7.87431752585879E-2</v>
      </c>
      <c r="H144" s="87"/>
      <c r="I144" s="87"/>
      <c r="K144" s="87"/>
      <c r="L144" s="87"/>
    </row>
    <row r="145" spans="4:12" ht="12.75" hidden="1" customHeight="1" x14ac:dyDescent="0.2">
      <c r="D145" s="149">
        <v>240</v>
      </c>
      <c r="E145" s="30">
        <v>3890.1390000000001</v>
      </c>
      <c r="F145" s="151">
        <v>4.2471251963837634E-3</v>
      </c>
      <c r="H145" s="87"/>
      <c r="K145" s="87"/>
      <c r="L145" s="87"/>
    </row>
    <row r="146" spans="4:12" ht="12.75" hidden="1" customHeight="1" x14ac:dyDescent="0.2">
      <c r="D146" s="149">
        <v>250</v>
      </c>
      <c r="E146" s="30">
        <v>5239.7725</v>
      </c>
      <c r="F146" s="151">
        <v>5.7206104481276228E-3</v>
      </c>
    </row>
    <row r="147" spans="4:12" ht="12.75" hidden="1" customHeight="1" x14ac:dyDescent="0.2">
      <c r="E147" s="87">
        <f>SUM(E141:E146)</f>
        <v>1064744.9267727274</v>
      </c>
      <c r="H147" s="87"/>
      <c r="K147" s="87"/>
      <c r="L147" s="87"/>
    </row>
    <row r="148" spans="4:12" ht="12.75" hidden="1" customHeight="1" x14ac:dyDescent="0.2">
      <c r="E148" s="87"/>
    </row>
    <row r="149" spans="4:12" ht="12.75" hidden="1" customHeight="1" x14ac:dyDescent="0.2">
      <c r="E149" s="87"/>
      <c r="H149" s="87"/>
      <c r="I149" s="87"/>
      <c r="K149" s="87"/>
      <c r="L149" s="87"/>
    </row>
    <row r="153" spans="4:12" ht="12.75" customHeight="1" x14ac:dyDescent="0.2">
      <c r="E153" s="176"/>
    </row>
  </sheetData>
  <sheetProtection algorithmName="SHA-512" hashValue="yLWIwEWv+IJayt/lSNPWM7EVU8GYzzVZsHmOHvH/u3NiEfAmmyryv7rn5i+sKUtyOo7P4vTX/NaiOEsRQ7h0wQ==" saltValue="4I6Q8KM/9cAUU0kDEoZJLw==" spinCount="100000" sheet="1" objects="1" scenarios="1"/>
  <autoFilter ref="N1:N149">
    <filterColumn colId="0">
      <customFilters>
        <customFilter operator="notEqual" val=" "/>
      </customFilters>
    </filterColumn>
  </autoFilter>
  <sortState ref="C113:K115">
    <sortCondition ref="C113:C115"/>
  </sortState>
  <mergeCells count="17">
    <mergeCell ref="B2:E2"/>
    <mergeCell ref="F9:G9"/>
    <mergeCell ref="F4:G4"/>
    <mergeCell ref="F5:G5"/>
    <mergeCell ref="F6:G6"/>
    <mergeCell ref="F7:G7"/>
    <mergeCell ref="F8:G8"/>
    <mergeCell ref="I4:J4"/>
    <mergeCell ref="I5:J5"/>
    <mergeCell ref="I6:J6"/>
    <mergeCell ref="I7:J7"/>
    <mergeCell ref="I8:J8"/>
    <mergeCell ref="F10:G10"/>
    <mergeCell ref="I10:J10"/>
    <mergeCell ref="F13:G13"/>
    <mergeCell ref="I13:J13"/>
    <mergeCell ref="I9:J9"/>
  </mergeCells>
  <phoneticPr fontId="0" type="noConversion"/>
  <printOptions horizontalCentered="1"/>
  <pageMargins left="0" right="0" top="0.5" bottom="0.5" header="0" footer="0"/>
  <pageSetup scale="83" fitToHeight="5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70"/>
  <sheetViews>
    <sheetView topLeftCell="B1" zoomScaleNormal="100" workbookViewId="0">
      <selection activeCell="B1" sqref="B1"/>
    </sheetView>
  </sheetViews>
  <sheetFormatPr defaultColWidth="9.140625" defaultRowHeight="12.75" x14ac:dyDescent="0.2"/>
  <cols>
    <col min="1" max="1" width="6.7109375" style="1" hidden="1" customWidth="1"/>
    <col min="2" max="2" width="4" style="112" bestFit="1" customWidth="1"/>
    <col min="3" max="3" width="5" style="112" customWidth="1"/>
    <col min="4" max="4" width="5" style="112" bestFit="1" customWidth="1"/>
    <col min="5" max="5" width="4" style="112" bestFit="1" customWidth="1"/>
    <col min="6" max="6" width="30.7109375" style="112" customWidth="1"/>
    <col min="7" max="7" width="1.28515625" style="1" customWidth="1"/>
    <col min="8" max="8" width="11.140625" style="1" customWidth="1"/>
    <col min="9" max="9" width="1.28515625" style="1" customWidth="1"/>
    <col min="10" max="10" width="11" style="1" customWidth="1"/>
    <col min="11" max="11" width="1.28515625" style="1" customWidth="1"/>
    <col min="12" max="12" width="36.140625" style="89" bestFit="1" customWidth="1"/>
    <col min="13" max="13" width="4.42578125" style="89" hidden="1" customWidth="1"/>
    <col min="14" max="14" width="8.140625" style="1" hidden="1" customWidth="1"/>
    <col min="15" max="15" width="4" style="1" hidden="1" customWidth="1"/>
    <col min="16" max="17" width="5" style="1" hidden="1" customWidth="1"/>
    <col min="18" max="18" width="4" style="1" hidden="1" customWidth="1"/>
    <col min="19" max="19" width="34.5703125" style="1" hidden="1" customWidth="1"/>
    <col min="20" max="20" width="0" style="1" hidden="1" customWidth="1"/>
    <col min="21" max="16384" width="9.140625" style="1"/>
  </cols>
  <sheetData>
    <row r="1" spans="1:20" x14ac:dyDescent="0.2">
      <c r="B1" s="70" t="str">
        <f>Budget!B1</f>
        <v xml:space="preserve"> </v>
      </c>
      <c r="C1" s="111"/>
      <c r="D1" s="110"/>
      <c r="E1" s="110"/>
      <c r="F1" s="110"/>
      <c r="M1" s="89" t="s">
        <v>71</v>
      </c>
    </row>
    <row r="2" spans="1:20" x14ac:dyDescent="0.2">
      <c r="B2" s="70" t="s">
        <v>90</v>
      </c>
      <c r="C2" s="111"/>
      <c r="D2" s="110"/>
      <c r="E2" s="110"/>
      <c r="F2" s="110"/>
      <c r="M2" s="89" t="s">
        <v>71</v>
      </c>
    </row>
    <row r="3" spans="1:20" ht="17.25" hidden="1" customHeight="1" x14ac:dyDescent="0.2">
      <c r="M3" s="89" t="s">
        <v>62</v>
      </c>
    </row>
    <row r="4" spans="1:20" x14ac:dyDescent="0.2">
      <c r="M4" s="89" t="s">
        <v>71</v>
      </c>
    </row>
    <row r="5" spans="1:20" x14ac:dyDescent="0.2">
      <c r="H5" s="16"/>
      <c r="J5" s="16"/>
      <c r="M5" s="89" t="s">
        <v>71</v>
      </c>
    </row>
    <row r="6" spans="1:20" x14ac:dyDescent="0.2">
      <c r="G6" s="80"/>
      <c r="H6" s="80" t="s">
        <v>98</v>
      </c>
      <c r="J6" s="80" t="s">
        <v>98</v>
      </c>
      <c r="M6" s="89" t="s">
        <v>71</v>
      </c>
    </row>
    <row r="7" spans="1:20" s="7" customFormat="1" ht="12.75" customHeight="1" x14ac:dyDescent="0.2">
      <c r="B7" s="113"/>
      <c r="C7" s="113"/>
      <c r="D7" s="113"/>
      <c r="E7" s="113"/>
      <c r="F7" s="113"/>
      <c r="G7" s="80"/>
      <c r="H7" s="80" t="s">
        <v>89</v>
      </c>
      <c r="I7" s="1"/>
      <c r="J7" s="80" t="s">
        <v>58</v>
      </c>
      <c r="L7" s="128" t="s">
        <v>51</v>
      </c>
      <c r="M7" s="89" t="s">
        <v>71</v>
      </c>
      <c r="N7" s="1"/>
    </row>
    <row r="8" spans="1:20" x14ac:dyDescent="0.2">
      <c r="A8" s="28"/>
      <c r="B8" s="52"/>
      <c r="C8" s="52"/>
      <c r="D8" s="52"/>
      <c r="E8" s="52"/>
      <c r="F8" s="52"/>
      <c r="G8" s="17"/>
      <c r="H8" s="81" t="s">
        <v>166</v>
      </c>
      <c r="I8" s="7"/>
      <c r="J8" s="81" t="s">
        <v>177</v>
      </c>
      <c r="K8" s="56"/>
      <c r="L8" s="94"/>
      <c r="M8" s="89" t="s">
        <v>71</v>
      </c>
    </row>
    <row r="9" spans="1:20" x14ac:dyDescent="0.2">
      <c r="M9" s="89" t="s">
        <v>71</v>
      </c>
    </row>
    <row r="10" spans="1:20" hidden="1" x14ac:dyDescent="0.2">
      <c r="A10" s="28"/>
      <c r="B10" s="52"/>
      <c r="C10" s="52"/>
      <c r="D10" s="52"/>
      <c r="E10" s="52"/>
      <c r="F10" s="52"/>
      <c r="G10" s="30"/>
      <c r="H10" s="30"/>
      <c r="I10" s="28"/>
      <c r="K10" s="56"/>
      <c r="L10" s="129"/>
      <c r="M10" s="89" t="str">
        <f>IF(J10&gt;0.49,"*","")</f>
        <v/>
      </c>
    </row>
    <row r="11" spans="1:20" x14ac:dyDescent="0.2">
      <c r="A11" s="28"/>
      <c r="B11" s="78">
        <v>100</v>
      </c>
      <c r="C11" s="78">
        <v>4000</v>
      </c>
      <c r="D11" s="78">
        <v>5100</v>
      </c>
      <c r="E11" s="78">
        <v>315</v>
      </c>
      <c r="F11" s="79" t="s">
        <v>164</v>
      </c>
      <c r="G11" s="55"/>
      <c r="H11" s="56">
        <v>1265.651111111111</v>
      </c>
      <c r="I11" s="56"/>
      <c r="J11" s="56">
        <v>5000</v>
      </c>
      <c r="K11" s="56"/>
      <c r="L11" s="90" t="s">
        <v>308</v>
      </c>
      <c r="M11" s="89" t="str">
        <f t="shared" ref="M11:M40" si="0">IF((H11+J11)&gt;0.49,"*","")</f>
        <v>*</v>
      </c>
      <c r="O11" s="78">
        <v>100</v>
      </c>
      <c r="P11" s="78">
        <v>4000</v>
      </c>
      <c r="Q11" s="78">
        <v>5100</v>
      </c>
      <c r="R11" s="78">
        <v>315</v>
      </c>
      <c r="S11" s="79" t="s">
        <v>164</v>
      </c>
      <c r="T11" s="56">
        <v>1265.651111111111</v>
      </c>
    </row>
    <row r="12" spans="1:20" x14ac:dyDescent="0.2">
      <c r="A12" s="28"/>
      <c r="B12" s="112">
        <v>100</v>
      </c>
      <c r="C12" s="112">
        <v>4000</v>
      </c>
      <c r="D12" s="112">
        <v>5100</v>
      </c>
      <c r="E12" s="112">
        <v>330</v>
      </c>
      <c r="F12" s="79" t="s">
        <v>247</v>
      </c>
      <c r="G12" s="55"/>
      <c r="H12" s="56">
        <v>130.9</v>
      </c>
      <c r="I12" s="56"/>
      <c r="J12" s="56">
        <f t="shared" ref="J12:J20" si="1">+H12/EnrOld*EnrNew*Inf</f>
        <v>126.98177995795376</v>
      </c>
      <c r="K12" s="56"/>
      <c r="L12" s="90" t="s">
        <v>136</v>
      </c>
      <c r="M12" s="89" t="str">
        <f t="shared" si="0"/>
        <v>*</v>
      </c>
      <c r="O12" s="78">
        <v>100</v>
      </c>
      <c r="P12" s="78">
        <v>4000</v>
      </c>
      <c r="Q12" s="78">
        <v>5100</v>
      </c>
      <c r="R12" s="78">
        <v>330</v>
      </c>
      <c r="S12" s="79" t="s">
        <v>247</v>
      </c>
      <c r="T12" s="56">
        <v>130.9</v>
      </c>
    </row>
    <row r="13" spans="1:20" x14ac:dyDescent="0.2">
      <c r="A13" s="28"/>
      <c r="B13" s="78">
        <v>100</v>
      </c>
      <c r="C13" s="78">
        <v>4000</v>
      </c>
      <c r="D13" s="78">
        <v>5100</v>
      </c>
      <c r="E13" s="78">
        <v>390</v>
      </c>
      <c r="F13" s="79" t="s">
        <v>248</v>
      </c>
      <c r="G13" s="55"/>
      <c r="H13" s="56">
        <v>848.71111111111111</v>
      </c>
      <c r="I13" s="56"/>
      <c r="J13" s="56">
        <f t="shared" si="1"/>
        <v>823.30670404111197</v>
      </c>
      <c r="K13" s="56"/>
      <c r="L13" s="90" t="s">
        <v>136</v>
      </c>
      <c r="M13" s="89" t="str">
        <f t="shared" si="0"/>
        <v>*</v>
      </c>
      <c r="O13" s="78">
        <v>100</v>
      </c>
      <c r="P13" s="78">
        <v>4000</v>
      </c>
      <c r="Q13" s="78">
        <v>5100</v>
      </c>
      <c r="R13" s="78">
        <v>390</v>
      </c>
      <c r="S13" s="79" t="s">
        <v>248</v>
      </c>
      <c r="T13" s="56">
        <v>848.71111111111111</v>
      </c>
    </row>
    <row r="14" spans="1:20" x14ac:dyDescent="0.2">
      <c r="A14" s="28"/>
      <c r="B14" s="78">
        <v>100</v>
      </c>
      <c r="C14" s="78">
        <v>4000</v>
      </c>
      <c r="D14" s="78">
        <v>5100</v>
      </c>
      <c r="E14" s="78">
        <v>510</v>
      </c>
      <c r="F14" s="79" t="s">
        <v>106</v>
      </c>
      <c r="G14" s="55"/>
      <c r="H14" s="56">
        <v>16376.489777777781</v>
      </c>
      <c r="I14" s="56"/>
      <c r="J14" s="56">
        <f t="shared" si="1"/>
        <v>15886.29351753596</v>
      </c>
      <c r="K14" s="56"/>
      <c r="L14" s="90" t="s">
        <v>136</v>
      </c>
      <c r="M14" s="89" t="str">
        <f t="shared" si="0"/>
        <v>*</v>
      </c>
      <c r="O14" s="78">
        <v>100</v>
      </c>
      <c r="P14" s="78">
        <v>4000</v>
      </c>
      <c r="Q14" s="78">
        <v>5100</v>
      </c>
      <c r="R14" s="78">
        <v>510</v>
      </c>
      <c r="S14" s="79" t="s">
        <v>106</v>
      </c>
      <c r="T14" s="56">
        <v>16376.489777777781</v>
      </c>
    </row>
    <row r="15" spans="1:20" x14ac:dyDescent="0.2">
      <c r="A15" s="28"/>
      <c r="B15" s="78">
        <v>100</v>
      </c>
      <c r="C15" s="78">
        <v>4000</v>
      </c>
      <c r="D15" s="78">
        <v>5100</v>
      </c>
      <c r="E15" s="78">
        <v>515</v>
      </c>
      <c r="F15" s="79" t="s">
        <v>249</v>
      </c>
      <c r="G15" s="55"/>
      <c r="H15" s="56">
        <v>20897.225454545456</v>
      </c>
      <c r="I15" s="56"/>
      <c r="J15" s="56">
        <f t="shared" si="1"/>
        <v>20271.710346836066</v>
      </c>
      <c r="K15" s="56"/>
      <c r="L15" s="90" t="s">
        <v>136</v>
      </c>
      <c r="M15" s="89" t="str">
        <f>IF((H15+J15)&gt;0.49,"*","")</f>
        <v>*</v>
      </c>
      <c r="O15" s="78">
        <v>100</v>
      </c>
      <c r="P15" s="78">
        <v>4000</v>
      </c>
      <c r="Q15" s="78">
        <v>5100</v>
      </c>
      <c r="R15" s="78">
        <v>515</v>
      </c>
      <c r="S15" s="79" t="s">
        <v>249</v>
      </c>
      <c r="T15" s="56">
        <v>20897.225454545456</v>
      </c>
    </row>
    <row r="16" spans="1:20" x14ac:dyDescent="0.2">
      <c r="A16" s="28"/>
      <c r="B16" s="78">
        <v>100</v>
      </c>
      <c r="C16" s="78">
        <v>4000</v>
      </c>
      <c r="D16" s="78">
        <v>5100</v>
      </c>
      <c r="E16" s="78">
        <v>520</v>
      </c>
      <c r="F16" s="79" t="s">
        <v>250</v>
      </c>
      <c r="G16" s="55"/>
      <c r="H16" s="56">
        <v>107.892</v>
      </c>
      <c r="I16" s="56"/>
      <c r="J16" s="56">
        <f>+EnrNew*20</f>
        <v>7600</v>
      </c>
      <c r="K16" s="56"/>
      <c r="L16" s="90" t="s">
        <v>306</v>
      </c>
      <c r="M16" s="89" t="str">
        <f t="shared" si="0"/>
        <v>*</v>
      </c>
      <c r="O16" s="78">
        <v>100</v>
      </c>
      <c r="P16" s="78">
        <v>4000</v>
      </c>
      <c r="Q16" s="78">
        <v>5100</v>
      </c>
      <c r="R16" s="78">
        <v>520</v>
      </c>
      <c r="S16" s="79" t="s">
        <v>250</v>
      </c>
      <c r="T16" s="56">
        <v>107.892</v>
      </c>
    </row>
    <row r="17" spans="1:22" x14ac:dyDescent="0.2">
      <c r="A17" s="28"/>
      <c r="B17" s="78">
        <v>100</v>
      </c>
      <c r="C17" s="78">
        <v>4000</v>
      </c>
      <c r="D17" s="78">
        <v>5100</v>
      </c>
      <c r="E17" s="78">
        <v>640</v>
      </c>
      <c r="F17" s="79" t="s">
        <v>233</v>
      </c>
      <c r="G17" s="55"/>
      <c r="H17" s="56">
        <v>9233.4684000000016</v>
      </c>
      <c r="I17" s="56"/>
      <c r="J17" s="56">
        <v>24000</v>
      </c>
      <c r="K17" s="56"/>
      <c r="L17" s="90" t="s">
        <v>308</v>
      </c>
      <c r="M17" s="89" t="str">
        <f t="shared" si="0"/>
        <v>*</v>
      </c>
      <c r="O17" s="78">
        <v>100</v>
      </c>
      <c r="P17" s="78">
        <v>4000</v>
      </c>
      <c r="Q17" s="78">
        <v>5100</v>
      </c>
      <c r="R17" s="78">
        <v>640</v>
      </c>
      <c r="S17" s="79" t="s">
        <v>233</v>
      </c>
      <c r="T17" s="56">
        <v>9233.4684000000016</v>
      </c>
    </row>
    <row r="18" spans="1:22" x14ac:dyDescent="0.2">
      <c r="A18" s="28"/>
      <c r="B18" s="78">
        <v>100</v>
      </c>
      <c r="C18" s="78">
        <v>4000</v>
      </c>
      <c r="D18" s="78">
        <v>5100</v>
      </c>
      <c r="E18" s="78">
        <v>643</v>
      </c>
      <c r="F18" s="79" t="s">
        <v>235</v>
      </c>
      <c r="G18" s="55"/>
      <c r="H18" s="56">
        <v>1486.2317999999998</v>
      </c>
      <c r="I18" s="56"/>
      <c r="J18" s="56">
        <v>60000</v>
      </c>
      <c r="K18" s="56"/>
      <c r="L18" s="90" t="s">
        <v>308</v>
      </c>
      <c r="M18" s="89" t="str">
        <f t="shared" si="0"/>
        <v>*</v>
      </c>
      <c r="O18" s="78">
        <v>100</v>
      </c>
      <c r="P18" s="78">
        <v>4000</v>
      </c>
      <c r="Q18" s="78">
        <v>5100</v>
      </c>
      <c r="R18" s="78">
        <v>643</v>
      </c>
      <c r="S18" s="79" t="s">
        <v>235</v>
      </c>
      <c r="T18" s="56">
        <v>1486.2317999999998</v>
      </c>
    </row>
    <row r="19" spans="1:22" x14ac:dyDescent="0.2">
      <c r="A19" s="28"/>
      <c r="B19" s="78">
        <v>100</v>
      </c>
      <c r="C19" s="78">
        <v>4000</v>
      </c>
      <c r="D19" s="78">
        <v>5100</v>
      </c>
      <c r="E19" s="78">
        <v>690</v>
      </c>
      <c r="F19" s="79" t="s">
        <v>237</v>
      </c>
      <c r="G19" s="55"/>
      <c r="H19" s="56">
        <v>125903.08</v>
      </c>
      <c r="I19" s="56"/>
      <c r="J19" s="94">
        <v>92000</v>
      </c>
      <c r="K19" s="56"/>
      <c r="L19" s="90" t="s">
        <v>308</v>
      </c>
      <c r="M19" s="89" t="str">
        <f t="shared" si="0"/>
        <v>*</v>
      </c>
      <c r="O19" s="78">
        <v>100</v>
      </c>
      <c r="P19" s="78">
        <v>4000</v>
      </c>
      <c r="Q19" s="78">
        <v>5100</v>
      </c>
      <c r="R19" s="78">
        <v>690</v>
      </c>
      <c r="S19" s="79" t="s">
        <v>237</v>
      </c>
      <c r="T19" s="56">
        <v>125903.08</v>
      </c>
      <c r="V19" s="89"/>
    </row>
    <row r="20" spans="1:22" x14ac:dyDescent="0.2">
      <c r="A20" s="28"/>
      <c r="B20" s="78">
        <v>100</v>
      </c>
      <c r="C20" s="78">
        <v>4000</v>
      </c>
      <c r="D20" s="78">
        <v>5200</v>
      </c>
      <c r="E20" s="78">
        <v>310</v>
      </c>
      <c r="F20" s="79" t="s">
        <v>244</v>
      </c>
      <c r="G20" s="55"/>
      <c r="H20" s="56">
        <v>64433.333333333336</v>
      </c>
      <c r="I20" s="56"/>
      <c r="J20" s="56">
        <f t="shared" si="1"/>
        <v>62504.655120632699</v>
      </c>
      <c r="K20" s="56"/>
      <c r="L20" s="90" t="s">
        <v>136</v>
      </c>
      <c r="M20" s="89" t="str">
        <f t="shared" si="0"/>
        <v>*</v>
      </c>
      <c r="O20" s="78">
        <v>100</v>
      </c>
      <c r="P20" s="78">
        <v>4000</v>
      </c>
      <c r="Q20" s="78">
        <v>5200</v>
      </c>
      <c r="R20" s="78">
        <v>310</v>
      </c>
      <c r="S20" s="79" t="s">
        <v>244</v>
      </c>
      <c r="T20" s="56">
        <v>64433.333333333336</v>
      </c>
    </row>
    <row r="21" spans="1:22" x14ac:dyDescent="0.2">
      <c r="A21" s="28"/>
      <c r="B21" s="78">
        <v>100</v>
      </c>
      <c r="C21" s="78">
        <v>4000</v>
      </c>
      <c r="D21" s="78">
        <v>6300</v>
      </c>
      <c r="E21" s="78">
        <v>590</v>
      </c>
      <c r="F21" s="79" t="s">
        <v>251</v>
      </c>
      <c r="G21" s="55"/>
      <c r="H21" s="56">
        <v>313.09090909090907</v>
      </c>
      <c r="I21" s="56"/>
      <c r="J21" s="56">
        <v>10000</v>
      </c>
      <c r="K21" s="56"/>
      <c r="L21" s="90" t="s">
        <v>308</v>
      </c>
      <c r="M21" s="89" t="str">
        <f>IF((H21+J21)&gt;0.49,"*","")</f>
        <v>*</v>
      </c>
      <c r="O21" s="78">
        <v>100</v>
      </c>
      <c r="P21" s="78">
        <v>4000</v>
      </c>
      <c r="Q21" s="78">
        <v>6300</v>
      </c>
      <c r="R21" s="78">
        <v>590</v>
      </c>
      <c r="S21" s="79" t="s">
        <v>251</v>
      </c>
      <c r="T21" s="56">
        <v>313.09090909090907</v>
      </c>
    </row>
    <row r="22" spans="1:22" x14ac:dyDescent="0.2">
      <c r="A22" s="28"/>
      <c r="B22" s="78">
        <v>100</v>
      </c>
      <c r="C22" s="78">
        <v>4000</v>
      </c>
      <c r="D22" s="78">
        <v>6400</v>
      </c>
      <c r="E22" s="78">
        <v>310</v>
      </c>
      <c r="F22" s="79" t="s">
        <v>110</v>
      </c>
      <c r="G22" s="55"/>
      <c r="H22" s="56">
        <v>2297.36</v>
      </c>
      <c r="I22" s="56"/>
      <c r="J22" s="56">
        <v>20000</v>
      </c>
      <c r="K22" s="56"/>
      <c r="L22" s="90" t="s">
        <v>308</v>
      </c>
      <c r="M22" s="89" t="str">
        <f t="shared" si="0"/>
        <v>*</v>
      </c>
      <c r="O22" s="78">
        <v>100</v>
      </c>
      <c r="P22" s="78">
        <v>4000</v>
      </c>
      <c r="Q22" s="78">
        <v>6400</v>
      </c>
      <c r="R22" s="78">
        <v>310</v>
      </c>
      <c r="S22" s="79" t="s">
        <v>110</v>
      </c>
      <c r="T22" s="56">
        <v>2297.36</v>
      </c>
    </row>
    <row r="23" spans="1:22" x14ac:dyDescent="0.2">
      <c r="A23" s="28"/>
      <c r="B23" s="78">
        <v>100</v>
      </c>
      <c r="C23" s="78">
        <v>4000</v>
      </c>
      <c r="D23" s="78">
        <v>6500</v>
      </c>
      <c r="E23" s="78">
        <v>310</v>
      </c>
      <c r="F23" s="79" t="s">
        <v>111</v>
      </c>
      <c r="G23" s="55"/>
      <c r="H23" s="56">
        <v>63744</v>
      </c>
      <c r="I23" s="56"/>
      <c r="J23" s="94">
        <f>2000*12</f>
        <v>24000</v>
      </c>
      <c r="K23" s="56"/>
      <c r="L23" s="90" t="s">
        <v>308</v>
      </c>
      <c r="M23" s="89" t="str">
        <f t="shared" si="0"/>
        <v>*</v>
      </c>
      <c r="O23" s="78">
        <v>100</v>
      </c>
      <c r="P23" s="78">
        <v>4000</v>
      </c>
      <c r="Q23" s="78">
        <v>6500</v>
      </c>
      <c r="R23" s="78">
        <v>310</v>
      </c>
      <c r="S23" s="79" t="s">
        <v>111</v>
      </c>
      <c r="T23" s="56">
        <v>63744</v>
      </c>
    </row>
    <row r="24" spans="1:22" x14ac:dyDescent="0.2">
      <c r="A24" s="28"/>
      <c r="B24" s="78">
        <v>100</v>
      </c>
      <c r="C24" s="78">
        <v>4000</v>
      </c>
      <c r="D24" s="78">
        <v>7100</v>
      </c>
      <c r="E24" s="78">
        <v>310</v>
      </c>
      <c r="F24" s="79" t="s">
        <v>112</v>
      </c>
      <c r="G24" s="55"/>
      <c r="H24" s="56">
        <v>30838.5</v>
      </c>
      <c r="I24" s="56"/>
      <c r="J24" s="56">
        <f>1000*12</f>
        <v>12000</v>
      </c>
      <c r="K24" s="56"/>
      <c r="L24" s="90" t="s">
        <v>308</v>
      </c>
      <c r="M24" s="89" t="str">
        <f t="shared" si="0"/>
        <v>*</v>
      </c>
      <c r="O24" s="78">
        <v>100</v>
      </c>
      <c r="P24" s="78">
        <v>4000</v>
      </c>
      <c r="Q24" s="78">
        <v>7100</v>
      </c>
      <c r="R24" s="78">
        <v>310</v>
      </c>
      <c r="S24" s="79" t="s">
        <v>112</v>
      </c>
      <c r="T24" s="56">
        <v>30838.5</v>
      </c>
    </row>
    <row r="25" spans="1:22" x14ac:dyDescent="0.2">
      <c r="A25" s="28"/>
      <c r="B25" s="78">
        <v>100</v>
      </c>
      <c r="C25" s="78">
        <v>4000</v>
      </c>
      <c r="D25" s="78">
        <v>7100</v>
      </c>
      <c r="E25" s="78">
        <v>315</v>
      </c>
      <c r="F25" s="79" t="s">
        <v>245</v>
      </c>
      <c r="G25" s="55"/>
      <c r="H25" s="56">
        <v>323465.06</v>
      </c>
      <c r="I25" s="56"/>
      <c r="J25" s="94">
        <v>0</v>
      </c>
      <c r="K25" s="94"/>
      <c r="L25" s="90" t="s">
        <v>194</v>
      </c>
      <c r="M25" s="89" t="str">
        <f t="shared" si="0"/>
        <v>*</v>
      </c>
      <c r="O25" s="78">
        <v>100</v>
      </c>
      <c r="P25" s="78">
        <v>4000</v>
      </c>
      <c r="Q25" s="78">
        <v>7100</v>
      </c>
      <c r="R25" s="78">
        <v>315</v>
      </c>
      <c r="S25" s="79" t="s">
        <v>245</v>
      </c>
      <c r="T25" s="56">
        <v>323465.06</v>
      </c>
    </row>
    <row r="26" spans="1:22" x14ac:dyDescent="0.2">
      <c r="A26" s="28"/>
      <c r="B26" s="78">
        <v>100</v>
      </c>
      <c r="C26" s="78">
        <v>4000</v>
      </c>
      <c r="D26" s="78">
        <v>7100</v>
      </c>
      <c r="E26" s="78">
        <v>320</v>
      </c>
      <c r="F26" s="79" t="s">
        <v>230</v>
      </c>
      <c r="G26" s="55"/>
      <c r="H26" s="56">
        <v>1651.7</v>
      </c>
      <c r="I26" s="56"/>
      <c r="J26" s="94">
        <f>+H26*Inf</f>
        <v>1684.7340000000002</v>
      </c>
      <c r="K26" s="94"/>
      <c r="L26" s="90" t="s">
        <v>100</v>
      </c>
      <c r="M26" s="89" t="str">
        <f>IF((H26+J26)&gt;0.49,"*","")</f>
        <v>*</v>
      </c>
      <c r="O26" s="78">
        <v>100</v>
      </c>
      <c r="P26" s="78">
        <v>4000</v>
      </c>
      <c r="Q26" s="78">
        <v>7100</v>
      </c>
      <c r="R26" s="78">
        <v>320</v>
      </c>
      <c r="S26" s="79" t="s">
        <v>230</v>
      </c>
      <c r="T26" s="56">
        <v>1651.7</v>
      </c>
    </row>
    <row r="27" spans="1:22" x14ac:dyDescent="0.2">
      <c r="A27" s="28"/>
      <c r="B27" s="78">
        <v>100</v>
      </c>
      <c r="C27" s="78">
        <v>4000</v>
      </c>
      <c r="D27" s="78">
        <v>7100</v>
      </c>
      <c r="E27" s="78">
        <v>790</v>
      </c>
      <c r="F27" s="79" t="s">
        <v>225</v>
      </c>
      <c r="G27" s="55"/>
      <c r="H27" s="56">
        <v>77393.570427470215</v>
      </c>
      <c r="I27" s="56"/>
      <c r="J27" s="94">
        <f>'Revenue Input'!J45</f>
        <v>77780.538279607557</v>
      </c>
      <c r="K27" s="56"/>
      <c r="L27" s="90" t="s">
        <v>307</v>
      </c>
      <c r="M27" s="89" t="str">
        <f t="shared" si="0"/>
        <v>*</v>
      </c>
      <c r="O27" s="78">
        <v>100</v>
      </c>
      <c r="P27" s="78">
        <v>4000</v>
      </c>
      <c r="Q27" s="78">
        <v>7100</v>
      </c>
      <c r="R27" s="78">
        <v>790</v>
      </c>
      <c r="S27" s="79" t="s">
        <v>225</v>
      </c>
      <c r="T27" s="56">
        <v>77393.570427470215</v>
      </c>
    </row>
    <row r="28" spans="1:22" x14ac:dyDescent="0.2">
      <c r="A28" s="28"/>
      <c r="B28" s="78">
        <v>100</v>
      </c>
      <c r="C28" s="78">
        <v>4000</v>
      </c>
      <c r="D28" s="78">
        <v>7100</v>
      </c>
      <c r="E28" s="78">
        <v>795</v>
      </c>
      <c r="F28" s="79" t="s">
        <v>114</v>
      </c>
      <c r="G28" s="55"/>
      <c r="H28" s="56">
        <v>51.599999999999994</v>
      </c>
      <c r="I28" s="56"/>
      <c r="J28" s="56">
        <f t="shared" ref="J28:J35" si="2">+H28*Inf</f>
        <v>52.631999999999998</v>
      </c>
      <c r="K28" s="56"/>
      <c r="L28" s="90" t="s">
        <v>100</v>
      </c>
      <c r="M28" s="89" t="str">
        <f t="shared" si="0"/>
        <v>*</v>
      </c>
      <c r="O28" s="78">
        <v>100</v>
      </c>
      <c r="P28" s="78">
        <v>4000</v>
      </c>
      <c r="Q28" s="78">
        <v>7100</v>
      </c>
      <c r="R28" s="78">
        <v>795</v>
      </c>
      <c r="S28" s="79" t="s">
        <v>114</v>
      </c>
      <c r="T28" s="56">
        <v>51.599999999999994</v>
      </c>
    </row>
    <row r="29" spans="1:22" x14ac:dyDescent="0.2">
      <c r="A29" s="28"/>
      <c r="B29" s="78">
        <v>100</v>
      </c>
      <c r="C29" s="78">
        <v>4000</v>
      </c>
      <c r="D29" s="78">
        <v>7300</v>
      </c>
      <c r="E29" s="78">
        <v>330</v>
      </c>
      <c r="F29" s="79" t="s">
        <v>253</v>
      </c>
      <c r="G29" s="55"/>
      <c r="H29" s="56">
        <v>1551.2399999999998</v>
      </c>
      <c r="I29" s="56"/>
      <c r="J29" s="56">
        <f t="shared" si="2"/>
        <v>1582.2647999999997</v>
      </c>
      <c r="K29" s="56"/>
      <c r="L29" s="90" t="s">
        <v>100</v>
      </c>
      <c r="M29" s="89" t="str">
        <f t="shared" si="0"/>
        <v>*</v>
      </c>
      <c r="O29" s="78">
        <v>100</v>
      </c>
      <c r="P29" s="78">
        <v>4000</v>
      </c>
      <c r="Q29" s="78">
        <v>7300</v>
      </c>
      <c r="R29" s="78">
        <v>330</v>
      </c>
      <c r="S29" s="79" t="s">
        <v>253</v>
      </c>
      <c r="T29" s="56">
        <v>1551.2399999999998</v>
      </c>
    </row>
    <row r="30" spans="1:22" x14ac:dyDescent="0.2">
      <c r="A30" s="28"/>
      <c r="B30" s="78">
        <v>100</v>
      </c>
      <c r="C30" s="78">
        <v>4000</v>
      </c>
      <c r="D30" s="78">
        <v>7300</v>
      </c>
      <c r="E30" s="78">
        <v>370</v>
      </c>
      <c r="F30" s="79" t="s">
        <v>254</v>
      </c>
      <c r="G30" s="55"/>
      <c r="H30" s="56">
        <v>2407.4880000000003</v>
      </c>
      <c r="I30" s="56"/>
      <c r="J30" s="56">
        <f t="shared" si="2"/>
        <v>2455.6377600000005</v>
      </c>
      <c r="K30" s="56"/>
      <c r="L30" s="90" t="s">
        <v>100</v>
      </c>
      <c r="M30" s="89" t="str">
        <f t="shared" si="0"/>
        <v>*</v>
      </c>
      <c r="O30" s="78">
        <v>100</v>
      </c>
      <c r="P30" s="78">
        <v>4000</v>
      </c>
      <c r="Q30" s="78">
        <v>7300</v>
      </c>
      <c r="R30" s="78">
        <v>370</v>
      </c>
      <c r="S30" s="79" t="s">
        <v>254</v>
      </c>
      <c r="T30" s="56">
        <v>2407.4880000000003</v>
      </c>
    </row>
    <row r="31" spans="1:22" x14ac:dyDescent="0.2">
      <c r="A31" s="28"/>
      <c r="B31" s="78">
        <v>100</v>
      </c>
      <c r="C31" s="78">
        <v>4000</v>
      </c>
      <c r="D31" s="78">
        <v>7300</v>
      </c>
      <c r="E31" s="78">
        <v>390</v>
      </c>
      <c r="F31" s="79" t="s">
        <v>255</v>
      </c>
      <c r="G31" s="55"/>
      <c r="H31" s="56">
        <v>33713.574545454547</v>
      </c>
      <c r="I31" s="56"/>
      <c r="J31" s="56">
        <v>20000</v>
      </c>
      <c r="K31" s="56"/>
      <c r="L31" s="90" t="s">
        <v>308</v>
      </c>
      <c r="M31" s="89" t="str">
        <f t="shared" si="0"/>
        <v>*</v>
      </c>
      <c r="O31" s="78">
        <v>100</v>
      </c>
      <c r="P31" s="78">
        <v>4000</v>
      </c>
      <c r="Q31" s="78">
        <v>7300</v>
      </c>
      <c r="R31" s="78">
        <v>390</v>
      </c>
      <c r="S31" s="79" t="s">
        <v>255</v>
      </c>
      <c r="T31" s="56">
        <v>33713.574545454547</v>
      </c>
    </row>
    <row r="32" spans="1:22" x14ac:dyDescent="0.2">
      <c r="A32" s="28"/>
      <c r="B32" s="78">
        <v>100</v>
      </c>
      <c r="C32" s="78">
        <v>4000</v>
      </c>
      <c r="D32" s="78">
        <v>7300</v>
      </c>
      <c r="E32" s="78">
        <v>510</v>
      </c>
      <c r="F32" s="79" t="s">
        <v>256</v>
      </c>
      <c r="G32" s="55"/>
      <c r="H32" s="56">
        <v>20510.412</v>
      </c>
      <c r="I32" s="56"/>
      <c r="J32" s="56">
        <f t="shared" si="2"/>
        <v>20920.62024</v>
      </c>
      <c r="K32" s="56"/>
      <c r="L32" s="90" t="s">
        <v>100</v>
      </c>
      <c r="M32" s="89" t="str">
        <f t="shared" si="0"/>
        <v>*</v>
      </c>
      <c r="O32" s="78">
        <v>100</v>
      </c>
      <c r="P32" s="78">
        <v>4000</v>
      </c>
      <c r="Q32" s="78">
        <v>7300</v>
      </c>
      <c r="R32" s="78">
        <v>510</v>
      </c>
      <c r="S32" s="79" t="s">
        <v>256</v>
      </c>
      <c r="T32" s="56">
        <v>20510.412</v>
      </c>
    </row>
    <row r="33" spans="1:20" x14ac:dyDescent="0.2">
      <c r="A33" s="28"/>
      <c r="B33" s="78">
        <v>100</v>
      </c>
      <c r="C33" s="78">
        <v>4000</v>
      </c>
      <c r="D33" s="78">
        <v>7300</v>
      </c>
      <c r="E33" s="78">
        <v>640</v>
      </c>
      <c r="F33" s="79" t="s">
        <v>234</v>
      </c>
      <c r="G33" s="55"/>
      <c r="H33" s="56">
        <v>2072.4462000000003</v>
      </c>
      <c r="I33" s="56"/>
      <c r="J33" s="56">
        <f t="shared" si="2"/>
        <v>2113.8951240000006</v>
      </c>
      <c r="K33" s="56"/>
      <c r="L33" s="90" t="s">
        <v>100</v>
      </c>
      <c r="M33" s="89" t="str">
        <f>IF((H33+J33)&gt;0.49,"*","")</f>
        <v>*</v>
      </c>
      <c r="O33" s="78">
        <v>100</v>
      </c>
      <c r="P33" s="78">
        <v>4000</v>
      </c>
      <c r="Q33" s="78">
        <v>7300</v>
      </c>
      <c r="R33" s="78">
        <v>640</v>
      </c>
      <c r="S33" s="79" t="s">
        <v>234</v>
      </c>
      <c r="T33" s="56">
        <v>2072.4462000000003</v>
      </c>
    </row>
    <row r="34" spans="1:20" x14ac:dyDescent="0.2">
      <c r="A34" s="28"/>
      <c r="B34" s="78">
        <v>100</v>
      </c>
      <c r="C34" s="78">
        <v>4000</v>
      </c>
      <c r="D34" s="78">
        <v>7300</v>
      </c>
      <c r="E34" s="78">
        <v>644</v>
      </c>
      <c r="F34" s="79" t="s">
        <v>236</v>
      </c>
      <c r="G34" s="55"/>
      <c r="H34" s="56">
        <v>247.82939999999999</v>
      </c>
      <c r="I34" s="56"/>
      <c r="J34" s="94">
        <v>12000</v>
      </c>
      <c r="K34" s="56"/>
      <c r="L34" s="90" t="s">
        <v>308</v>
      </c>
      <c r="M34" s="89" t="str">
        <f t="shared" si="0"/>
        <v>*</v>
      </c>
      <c r="O34" s="78">
        <v>100</v>
      </c>
      <c r="P34" s="78">
        <v>4000</v>
      </c>
      <c r="Q34" s="78">
        <v>7300</v>
      </c>
      <c r="R34" s="78">
        <v>644</v>
      </c>
      <c r="S34" s="79" t="s">
        <v>236</v>
      </c>
      <c r="T34" s="56">
        <v>247.82939999999999</v>
      </c>
    </row>
    <row r="35" spans="1:20" x14ac:dyDescent="0.2">
      <c r="A35" s="28"/>
      <c r="B35" s="78">
        <v>100</v>
      </c>
      <c r="C35" s="78">
        <v>4000</v>
      </c>
      <c r="D35" s="78">
        <v>7300</v>
      </c>
      <c r="E35" s="78">
        <v>730</v>
      </c>
      <c r="F35" s="79" t="s">
        <v>113</v>
      </c>
      <c r="G35" s="55"/>
      <c r="H35" s="56">
        <v>5577.96</v>
      </c>
      <c r="I35" s="56"/>
      <c r="J35" s="94">
        <f t="shared" si="2"/>
        <v>5689.5191999999997</v>
      </c>
      <c r="K35" s="56"/>
      <c r="L35" s="90" t="s">
        <v>100</v>
      </c>
      <c r="M35" s="89" t="str">
        <f>IF((H35+J35)&gt;0.49,"*","")</f>
        <v>*</v>
      </c>
      <c r="O35" s="78">
        <v>100</v>
      </c>
      <c r="P35" s="78">
        <v>4000</v>
      </c>
      <c r="Q35" s="78">
        <v>7300</v>
      </c>
      <c r="R35" s="78">
        <v>730</v>
      </c>
      <c r="S35" s="79" t="s">
        <v>113</v>
      </c>
      <c r="T35" s="56">
        <v>5577.96</v>
      </c>
    </row>
    <row r="36" spans="1:20" x14ac:dyDescent="0.2">
      <c r="A36" s="28"/>
      <c r="B36" s="78">
        <v>100</v>
      </c>
      <c r="C36" s="78">
        <v>4000</v>
      </c>
      <c r="D36" s="78">
        <v>7400</v>
      </c>
      <c r="E36" s="78">
        <v>360</v>
      </c>
      <c r="F36" s="79" t="s">
        <v>119</v>
      </c>
      <c r="G36" s="55"/>
      <c r="H36" s="56">
        <v>309499.02999999997</v>
      </c>
      <c r="I36" s="56"/>
      <c r="J36" s="170">
        <f>(26163.96*1.03)*12</f>
        <v>323386.54559999995</v>
      </c>
      <c r="K36" s="56"/>
      <c r="L36" s="90" t="s">
        <v>300</v>
      </c>
      <c r="M36" s="89" t="str">
        <f t="shared" si="0"/>
        <v>*</v>
      </c>
      <c r="O36" s="78">
        <v>100</v>
      </c>
      <c r="P36" s="78">
        <v>4000</v>
      </c>
      <c r="Q36" s="78">
        <v>7400</v>
      </c>
      <c r="R36" s="78">
        <v>360</v>
      </c>
      <c r="S36" s="79" t="s">
        <v>119</v>
      </c>
      <c r="T36" s="56">
        <v>309499.02999999997</v>
      </c>
    </row>
    <row r="37" spans="1:20" x14ac:dyDescent="0.2">
      <c r="A37" s="28"/>
      <c r="B37" s="78">
        <v>100</v>
      </c>
      <c r="C37" s="78">
        <v>4000</v>
      </c>
      <c r="D37" s="78">
        <v>7500</v>
      </c>
      <c r="E37" s="78">
        <v>310</v>
      </c>
      <c r="F37" s="79" t="s">
        <v>120</v>
      </c>
      <c r="G37" s="55"/>
      <c r="H37" s="56">
        <v>67101.340028030827</v>
      </c>
      <c r="I37" s="56"/>
      <c r="J37" s="94">
        <f>('Revenue Input'!J39-'Revenue Input'!J45)*0.028</f>
        <v>64028.939111772939</v>
      </c>
      <c r="K37" s="56"/>
      <c r="L37" s="90" t="s">
        <v>257</v>
      </c>
      <c r="M37" s="89" t="str">
        <f t="shared" si="0"/>
        <v>*</v>
      </c>
      <c r="O37" s="78">
        <v>100</v>
      </c>
      <c r="P37" s="78">
        <v>4000</v>
      </c>
      <c r="Q37" s="78">
        <v>7500</v>
      </c>
      <c r="R37" s="78">
        <v>310</v>
      </c>
      <c r="S37" s="79" t="s">
        <v>120</v>
      </c>
      <c r="T37" s="56">
        <v>67101.340028030827</v>
      </c>
    </row>
    <row r="38" spans="1:20" x14ac:dyDescent="0.2">
      <c r="A38" s="28"/>
      <c r="B38" s="78">
        <v>100</v>
      </c>
      <c r="C38" s="78">
        <v>4000</v>
      </c>
      <c r="D38" s="78">
        <v>7500</v>
      </c>
      <c r="E38" s="78">
        <v>311</v>
      </c>
      <c r="F38" s="79" t="s">
        <v>121</v>
      </c>
      <c r="G38" s="55"/>
      <c r="H38" s="56">
        <v>928.24800000000005</v>
      </c>
      <c r="I38" s="56"/>
      <c r="J38" s="56">
        <f>+(304.7*12)+200</f>
        <v>3856.3999999999996</v>
      </c>
      <c r="K38" s="56"/>
      <c r="L38" s="85" t="s">
        <v>308</v>
      </c>
      <c r="M38" s="89" t="str">
        <f t="shared" si="0"/>
        <v>*</v>
      </c>
      <c r="O38" s="78">
        <v>100</v>
      </c>
      <c r="P38" s="78">
        <v>4000</v>
      </c>
      <c r="Q38" s="78">
        <v>7500</v>
      </c>
      <c r="R38" s="78">
        <v>311</v>
      </c>
      <c r="S38" s="79" t="s">
        <v>121</v>
      </c>
      <c r="T38" s="56">
        <v>928.24800000000005</v>
      </c>
    </row>
    <row r="39" spans="1:20" x14ac:dyDescent="0.2">
      <c r="A39" s="28"/>
      <c r="B39" s="78">
        <v>100</v>
      </c>
      <c r="C39" s="78">
        <v>4000</v>
      </c>
      <c r="D39" s="78">
        <v>7600</v>
      </c>
      <c r="E39" s="78">
        <v>310</v>
      </c>
      <c r="F39" s="79" t="s">
        <v>226</v>
      </c>
      <c r="G39" s="93"/>
      <c r="H39" s="56">
        <v>3919.38</v>
      </c>
      <c r="I39" s="94"/>
      <c r="J39" s="56">
        <f>+H39/EnrOld*EnrNew*Inf</f>
        <v>3802.0614876364002</v>
      </c>
      <c r="K39" s="94"/>
      <c r="L39" s="90" t="s">
        <v>136</v>
      </c>
      <c r="M39" s="89" t="str">
        <f>IF((H39+J39)&gt;0.49,"*","")</f>
        <v>*</v>
      </c>
      <c r="O39" s="78">
        <v>100</v>
      </c>
      <c r="P39" s="78">
        <v>4000</v>
      </c>
      <c r="Q39" s="78">
        <v>7600</v>
      </c>
      <c r="R39" s="78">
        <v>310</v>
      </c>
      <c r="S39" s="79" t="s">
        <v>226</v>
      </c>
      <c r="T39" s="56">
        <v>3919.38</v>
      </c>
    </row>
    <row r="40" spans="1:20" x14ac:dyDescent="0.2">
      <c r="A40" s="28"/>
      <c r="B40" s="78">
        <v>100</v>
      </c>
      <c r="C40" s="78">
        <v>4000</v>
      </c>
      <c r="D40" s="78">
        <v>7800</v>
      </c>
      <c r="E40" s="78">
        <v>310</v>
      </c>
      <c r="F40" s="79" t="s">
        <v>228</v>
      </c>
      <c r="G40" s="56">
        <v>40055.277777777781</v>
      </c>
      <c r="H40" s="56">
        <v>40055.277777777781</v>
      </c>
      <c r="I40" s="94"/>
      <c r="J40" s="56">
        <f>+H40/EnrOld*EnrNew*Inf</f>
        <v>38856.30610338039</v>
      </c>
      <c r="K40" s="94"/>
      <c r="L40" s="90" t="s">
        <v>136</v>
      </c>
      <c r="M40" s="89" t="str">
        <f t="shared" si="0"/>
        <v>*</v>
      </c>
      <c r="O40" s="78">
        <v>100</v>
      </c>
      <c r="P40" s="78">
        <v>4000</v>
      </c>
      <c r="Q40" s="78">
        <v>7800</v>
      </c>
      <c r="R40" s="78">
        <v>310</v>
      </c>
      <c r="S40" s="79" t="s">
        <v>228</v>
      </c>
      <c r="T40" s="56">
        <v>40055.277777777781</v>
      </c>
    </row>
    <row r="41" spans="1:20" x14ac:dyDescent="0.2">
      <c r="A41" s="28"/>
      <c r="B41" s="78">
        <v>100</v>
      </c>
      <c r="C41" s="78">
        <v>4000</v>
      </c>
      <c r="D41" s="78">
        <v>7900</v>
      </c>
      <c r="E41" s="78">
        <v>320</v>
      </c>
      <c r="F41" s="79" t="s">
        <v>124</v>
      </c>
      <c r="G41" s="55"/>
      <c r="H41" s="56">
        <v>24250.22</v>
      </c>
      <c r="I41" s="56"/>
      <c r="J41" s="56">
        <v>14738.67</v>
      </c>
      <c r="K41" s="56"/>
      <c r="L41" s="90" t="s">
        <v>302</v>
      </c>
      <c r="M41" s="89" t="str">
        <f t="shared" ref="M41:M49" si="3">IF((H41+J41)&gt;0.49,"*","")</f>
        <v>*</v>
      </c>
      <c r="O41" s="78">
        <v>100</v>
      </c>
      <c r="P41" s="78">
        <v>4000</v>
      </c>
      <c r="Q41" s="78">
        <v>7900</v>
      </c>
      <c r="R41" s="78">
        <v>320</v>
      </c>
      <c r="S41" s="79" t="s">
        <v>124</v>
      </c>
      <c r="T41" s="56">
        <v>9511.5499999999993</v>
      </c>
    </row>
    <row r="42" spans="1:20" x14ac:dyDescent="0.2">
      <c r="A42" s="28"/>
      <c r="B42" s="78">
        <v>100</v>
      </c>
      <c r="C42" s="78">
        <v>4000</v>
      </c>
      <c r="D42" s="78">
        <v>7900</v>
      </c>
      <c r="E42" s="78">
        <v>351</v>
      </c>
      <c r="F42" s="79" t="s">
        <v>143</v>
      </c>
      <c r="G42" s="55"/>
      <c r="H42" s="56">
        <v>26128.129999999997</v>
      </c>
      <c r="I42" s="56"/>
      <c r="J42" s="56">
        <f t="shared" ref="J42:J49" si="4">+H42*Inf</f>
        <v>26650.692599999998</v>
      </c>
      <c r="K42" s="56"/>
      <c r="L42" s="90" t="s">
        <v>100</v>
      </c>
      <c r="M42" s="89" t="str">
        <f t="shared" si="3"/>
        <v>*</v>
      </c>
      <c r="O42" s="78">
        <v>100</v>
      </c>
      <c r="P42" s="78">
        <v>4000</v>
      </c>
      <c r="Q42" s="78">
        <v>7900</v>
      </c>
      <c r="R42" s="78">
        <v>351</v>
      </c>
      <c r="S42" s="79" t="s">
        <v>143</v>
      </c>
      <c r="T42" s="56">
        <v>26128.129999999997</v>
      </c>
    </row>
    <row r="43" spans="1:20" x14ac:dyDescent="0.2">
      <c r="A43" s="28"/>
      <c r="B43" s="78">
        <v>100</v>
      </c>
      <c r="C43" s="78">
        <v>4000</v>
      </c>
      <c r="D43" s="78">
        <v>7900</v>
      </c>
      <c r="E43" s="78">
        <v>352</v>
      </c>
      <c r="F43" s="79" t="s">
        <v>240</v>
      </c>
      <c r="G43" s="55"/>
      <c r="H43" s="56">
        <v>68255.28</v>
      </c>
      <c r="I43" s="56"/>
      <c r="J43" s="56">
        <f>+H43*Inf</f>
        <v>69620.385599999994</v>
      </c>
      <c r="K43" s="56"/>
      <c r="L43" s="90" t="s">
        <v>100</v>
      </c>
      <c r="M43" s="89" t="str">
        <f>IF((H43+J43)&gt;0.49,"*","")</f>
        <v>*</v>
      </c>
      <c r="O43" s="78">
        <v>100</v>
      </c>
      <c r="P43" s="78">
        <v>4000</v>
      </c>
      <c r="Q43" s="78">
        <v>7900</v>
      </c>
      <c r="R43" s="78">
        <v>352</v>
      </c>
      <c r="S43" s="79" t="s">
        <v>240</v>
      </c>
      <c r="T43" s="56">
        <v>68255.28</v>
      </c>
    </row>
    <row r="44" spans="1:20" x14ac:dyDescent="0.2">
      <c r="A44" s="28"/>
      <c r="B44" s="78">
        <v>100</v>
      </c>
      <c r="C44" s="78">
        <v>4000</v>
      </c>
      <c r="D44" s="78">
        <v>7900</v>
      </c>
      <c r="E44" s="78">
        <v>370</v>
      </c>
      <c r="F44" s="79" t="s">
        <v>125</v>
      </c>
      <c r="G44" s="55"/>
      <c r="H44" s="56">
        <v>10320.348</v>
      </c>
      <c r="I44" s="56"/>
      <c r="J44" s="56">
        <f t="shared" si="4"/>
        <v>10526.75496</v>
      </c>
      <c r="K44" s="56"/>
      <c r="L44" s="90" t="s">
        <v>100</v>
      </c>
      <c r="M44" s="89" t="str">
        <f t="shared" si="3"/>
        <v>*</v>
      </c>
      <c r="O44" s="78">
        <v>100</v>
      </c>
      <c r="P44" s="78">
        <v>4000</v>
      </c>
      <c r="Q44" s="78">
        <v>7900</v>
      </c>
      <c r="R44" s="78">
        <v>370</v>
      </c>
      <c r="S44" s="79" t="s">
        <v>125</v>
      </c>
      <c r="T44" s="56">
        <v>10320.348</v>
      </c>
    </row>
    <row r="45" spans="1:20" x14ac:dyDescent="0.2">
      <c r="A45" s="28"/>
      <c r="B45" s="78">
        <v>100</v>
      </c>
      <c r="C45" s="78">
        <v>4000</v>
      </c>
      <c r="D45" s="78">
        <v>7900</v>
      </c>
      <c r="E45" s="78">
        <v>380</v>
      </c>
      <c r="F45" s="79" t="s">
        <v>241</v>
      </c>
      <c r="G45" s="55"/>
      <c r="H45" s="56">
        <v>2637.1280000000002</v>
      </c>
      <c r="I45" s="56"/>
      <c r="J45" s="56">
        <f>+H45*Inf</f>
        <v>2689.8705600000003</v>
      </c>
      <c r="K45" s="56"/>
      <c r="L45" s="90" t="s">
        <v>100</v>
      </c>
      <c r="M45" s="89" t="str">
        <f>IF((H45+J45)&gt;0.49,"*","")</f>
        <v>*</v>
      </c>
      <c r="O45" s="78">
        <v>100</v>
      </c>
      <c r="P45" s="78">
        <v>4000</v>
      </c>
      <c r="Q45" s="78">
        <v>7900</v>
      </c>
      <c r="R45" s="78">
        <v>380</v>
      </c>
      <c r="S45" s="79" t="s">
        <v>241</v>
      </c>
      <c r="T45" s="56">
        <v>2637.1280000000002</v>
      </c>
    </row>
    <row r="46" spans="1:20" x14ac:dyDescent="0.2">
      <c r="A46" s="28"/>
      <c r="B46" s="78">
        <v>100</v>
      </c>
      <c r="C46" s="78">
        <v>4000</v>
      </c>
      <c r="D46" s="78">
        <v>7900</v>
      </c>
      <c r="E46" s="78">
        <v>390</v>
      </c>
      <c r="F46" s="79" t="s">
        <v>126</v>
      </c>
      <c r="G46" s="55"/>
      <c r="H46" s="56">
        <v>3351.9839999999999</v>
      </c>
      <c r="I46" s="56"/>
      <c r="J46" s="56">
        <f t="shared" si="4"/>
        <v>3419.0236799999998</v>
      </c>
      <c r="K46" s="56"/>
      <c r="L46" s="90" t="s">
        <v>100</v>
      </c>
      <c r="M46" s="89" t="str">
        <f t="shared" si="3"/>
        <v>*</v>
      </c>
      <c r="O46" s="78">
        <v>100</v>
      </c>
      <c r="P46" s="78">
        <v>4000</v>
      </c>
      <c r="Q46" s="78">
        <v>7900</v>
      </c>
      <c r="R46" s="78">
        <v>390</v>
      </c>
      <c r="S46" s="79" t="s">
        <v>126</v>
      </c>
      <c r="T46" s="56">
        <v>3351.9839999999999</v>
      </c>
    </row>
    <row r="47" spans="1:20" x14ac:dyDescent="0.2">
      <c r="A47" s="28"/>
      <c r="B47" s="52">
        <v>100</v>
      </c>
      <c r="C47" s="52">
        <v>4000</v>
      </c>
      <c r="D47" s="52">
        <v>7900</v>
      </c>
      <c r="E47" s="52">
        <v>430</v>
      </c>
      <c r="F47" s="79" t="s">
        <v>122</v>
      </c>
      <c r="G47" s="55"/>
      <c r="H47" s="56">
        <v>27330.300000000003</v>
      </c>
      <c r="I47" s="56"/>
      <c r="J47" s="56">
        <f t="shared" si="4"/>
        <v>27876.906000000003</v>
      </c>
      <c r="K47" s="56"/>
      <c r="L47" s="90" t="s">
        <v>100</v>
      </c>
      <c r="M47" s="89" t="str">
        <f t="shared" si="3"/>
        <v>*</v>
      </c>
      <c r="O47" s="78">
        <v>100</v>
      </c>
      <c r="P47" s="78">
        <v>4000</v>
      </c>
      <c r="Q47" s="78">
        <v>7900</v>
      </c>
      <c r="R47" s="78">
        <v>430</v>
      </c>
      <c r="S47" s="79" t="s">
        <v>122</v>
      </c>
      <c r="T47" s="56">
        <v>27330.300000000003</v>
      </c>
    </row>
    <row r="48" spans="1:20" x14ac:dyDescent="0.2">
      <c r="A48" s="28"/>
      <c r="B48" s="52">
        <v>100</v>
      </c>
      <c r="C48" s="52">
        <v>4000</v>
      </c>
      <c r="D48" s="52">
        <v>7900</v>
      </c>
      <c r="E48" s="52">
        <v>510</v>
      </c>
      <c r="F48" s="79" t="s">
        <v>127</v>
      </c>
      <c r="G48" s="55"/>
      <c r="H48" s="56">
        <v>5248.7039999999997</v>
      </c>
      <c r="I48" s="56"/>
      <c r="J48" s="56">
        <f t="shared" si="4"/>
        <v>5353.6780799999997</v>
      </c>
      <c r="K48" s="56"/>
      <c r="L48" s="90" t="s">
        <v>100</v>
      </c>
      <c r="M48" s="89" t="str">
        <f t="shared" si="3"/>
        <v>*</v>
      </c>
      <c r="O48" s="78">
        <v>100</v>
      </c>
      <c r="P48" s="78">
        <v>4000</v>
      </c>
      <c r="Q48" s="78">
        <v>7900</v>
      </c>
      <c r="R48" s="78">
        <v>510</v>
      </c>
      <c r="S48" s="79" t="s">
        <v>127</v>
      </c>
      <c r="T48" s="56">
        <v>5248.7039999999997</v>
      </c>
    </row>
    <row r="49" spans="1:20" x14ac:dyDescent="0.2">
      <c r="A49" s="28"/>
      <c r="B49" s="52">
        <v>100</v>
      </c>
      <c r="C49" s="52">
        <v>4000</v>
      </c>
      <c r="D49" s="52">
        <v>8100</v>
      </c>
      <c r="E49" s="52">
        <v>350</v>
      </c>
      <c r="F49" s="79" t="s">
        <v>128</v>
      </c>
      <c r="G49" s="55"/>
      <c r="H49" s="56">
        <v>18137.663999999997</v>
      </c>
      <c r="I49" s="56"/>
      <c r="J49" s="56">
        <f t="shared" si="4"/>
        <v>18500.417279999998</v>
      </c>
      <c r="K49" s="56"/>
      <c r="L49" s="90" t="s">
        <v>100</v>
      </c>
      <c r="M49" s="89" t="str">
        <f t="shared" si="3"/>
        <v>*</v>
      </c>
      <c r="O49" s="78">
        <v>100</v>
      </c>
      <c r="P49" s="78">
        <v>4000</v>
      </c>
      <c r="Q49" s="78">
        <v>8100</v>
      </c>
      <c r="R49" s="78">
        <v>350</v>
      </c>
      <c r="S49" s="79" t="s">
        <v>128</v>
      </c>
      <c r="T49" s="56">
        <v>18137.663999999997</v>
      </c>
    </row>
    <row r="50" spans="1:20" hidden="1" x14ac:dyDescent="0.2">
      <c r="A50" s="28"/>
      <c r="B50" s="52"/>
      <c r="C50" s="52"/>
      <c r="D50" s="52"/>
      <c r="E50" s="52"/>
      <c r="F50" s="52"/>
      <c r="G50" s="30"/>
      <c r="H50" s="56"/>
      <c r="I50" s="56"/>
      <c r="J50" s="56"/>
      <c r="K50" s="56"/>
      <c r="L50" s="90"/>
      <c r="M50" s="89" t="str">
        <f>IF(J50&gt;0.49,"*","")</f>
        <v/>
      </c>
      <c r="N50" s="10"/>
    </row>
    <row r="51" spans="1:20" hidden="1" x14ac:dyDescent="0.2">
      <c r="A51" s="28"/>
      <c r="B51" s="52"/>
      <c r="C51" s="52"/>
      <c r="D51" s="52"/>
      <c r="E51" s="52"/>
      <c r="F51" s="52"/>
      <c r="G51" s="30"/>
      <c r="H51" s="56"/>
      <c r="I51" s="56"/>
      <c r="J51" s="56"/>
      <c r="K51" s="56"/>
      <c r="L51" s="90"/>
      <c r="M51" s="89" t="str">
        <f>IF(J51&gt;0.49,"*","")</f>
        <v/>
      </c>
    </row>
    <row r="52" spans="1:20" hidden="1" x14ac:dyDescent="0.2">
      <c r="A52" s="28"/>
      <c r="B52" s="52"/>
      <c r="C52" s="52"/>
      <c r="D52" s="52"/>
      <c r="E52" s="52"/>
      <c r="F52" s="52"/>
      <c r="G52" s="31"/>
      <c r="H52" s="56"/>
      <c r="I52" s="56"/>
      <c r="J52" s="56"/>
      <c r="K52" s="56"/>
      <c r="L52" s="90"/>
      <c r="M52" s="89" t="str">
        <f>IF(J52&gt;0.49,"*","")</f>
        <v/>
      </c>
    </row>
    <row r="53" spans="1:20" x14ac:dyDescent="0.2">
      <c r="A53" s="28"/>
      <c r="B53" s="52"/>
      <c r="C53" s="52"/>
      <c r="D53" s="52"/>
      <c r="E53" s="52"/>
      <c r="F53" s="52"/>
      <c r="G53" s="30"/>
      <c r="H53" s="56"/>
      <c r="I53" s="56"/>
      <c r="J53" s="56"/>
      <c r="K53" s="56"/>
      <c r="L53" s="90"/>
      <c r="M53" s="89" t="s">
        <v>71</v>
      </c>
    </row>
    <row r="54" spans="1:20" hidden="1" x14ac:dyDescent="0.2">
      <c r="A54" s="28"/>
      <c r="B54" s="52"/>
      <c r="C54" s="52"/>
      <c r="D54" s="52"/>
      <c r="E54" s="52"/>
      <c r="F54" s="52"/>
      <c r="G54" s="30"/>
      <c r="H54" s="56"/>
      <c r="I54" s="56"/>
      <c r="J54" s="56"/>
      <c r="K54" s="56"/>
      <c r="L54" s="129"/>
    </row>
    <row r="55" spans="1:20" x14ac:dyDescent="0.2">
      <c r="A55" s="28"/>
      <c r="B55" s="52"/>
      <c r="C55" s="52"/>
      <c r="D55" s="52"/>
      <c r="E55" s="52"/>
      <c r="F55" s="52"/>
      <c r="G55" s="30"/>
      <c r="H55" s="56">
        <f>SUM(H10:H54)</f>
        <v>1413681.8482757027</v>
      </c>
      <c r="I55" s="56"/>
      <c r="J55" s="56">
        <f>SUM(J10:J54)</f>
        <v>1111799.4399354011</v>
      </c>
      <c r="K55" s="56"/>
      <c r="L55" s="129"/>
      <c r="M55" s="89" t="str">
        <f>IF(J55&gt;0.49,"*","")</f>
        <v>*</v>
      </c>
    </row>
    <row r="56" spans="1:20" hidden="1" x14ac:dyDescent="0.2">
      <c r="A56" s="28"/>
      <c r="B56" s="52"/>
      <c r="C56" s="52"/>
      <c r="D56" s="52"/>
      <c r="E56" s="52"/>
      <c r="F56" s="52"/>
      <c r="G56" s="30"/>
      <c r="H56" s="56"/>
      <c r="I56" s="56"/>
      <c r="J56" s="56"/>
      <c r="K56" s="56"/>
      <c r="L56" s="129"/>
    </row>
    <row r="57" spans="1:20" hidden="1" x14ac:dyDescent="0.2">
      <c r="A57" s="28"/>
      <c r="B57" s="52"/>
      <c r="C57" s="52"/>
      <c r="D57" s="52"/>
      <c r="E57" s="52"/>
      <c r="F57" s="52"/>
      <c r="G57" s="30"/>
      <c r="H57" s="56"/>
      <c r="I57" s="56"/>
      <c r="J57" s="56"/>
      <c r="K57" s="56"/>
      <c r="L57" s="129"/>
    </row>
    <row r="58" spans="1:20" hidden="1" x14ac:dyDescent="0.2">
      <c r="A58" s="28"/>
      <c r="B58" s="52"/>
      <c r="C58" s="52"/>
      <c r="D58" s="52"/>
      <c r="E58" s="52"/>
      <c r="F58" s="52"/>
      <c r="G58" s="30"/>
      <c r="H58" s="56"/>
      <c r="I58" s="56"/>
      <c r="J58" s="56"/>
      <c r="K58" s="56"/>
      <c r="L58" s="129"/>
    </row>
    <row r="59" spans="1:20" hidden="1" x14ac:dyDescent="0.2">
      <c r="A59" s="28"/>
      <c r="B59" s="52"/>
      <c r="C59" s="52"/>
      <c r="D59" s="52"/>
      <c r="E59" s="52"/>
      <c r="F59" s="52"/>
      <c r="G59" s="30"/>
      <c r="H59" s="56"/>
      <c r="I59" s="56"/>
      <c r="J59" s="56"/>
      <c r="K59" s="56"/>
      <c r="L59" s="129"/>
    </row>
    <row r="60" spans="1:20" hidden="1" x14ac:dyDescent="0.2">
      <c r="A60" s="28"/>
      <c r="B60" s="52"/>
      <c r="C60" s="52"/>
      <c r="D60" s="52"/>
      <c r="E60" s="52"/>
      <c r="F60" s="52"/>
      <c r="G60" s="30"/>
      <c r="H60" s="56"/>
      <c r="I60" s="56"/>
      <c r="J60" s="56"/>
      <c r="K60" s="56"/>
      <c r="L60" s="129"/>
    </row>
    <row r="61" spans="1:20" hidden="1" x14ac:dyDescent="0.2">
      <c r="A61" s="28"/>
      <c r="B61" s="52"/>
      <c r="C61" s="52"/>
      <c r="D61" s="52"/>
      <c r="E61" s="52"/>
      <c r="F61" s="52"/>
      <c r="G61" s="30"/>
      <c r="H61" s="56"/>
      <c r="I61" s="56"/>
      <c r="J61" s="56"/>
      <c r="K61" s="56"/>
      <c r="L61" s="129"/>
    </row>
    <row r="62" spans="1:20" hidden="1" x14ac:dyDescent="0.2">
      <c r="A62" s="28"/>
      <c r="B62" s="52"/>
      <c r="C62" s="52"/>
      <c r="D62" s="52"/>
      <c r="E62" s="52"/>
      <c r="F62" s="52"/>
      <c r="G62" s="30"/>
      <c r="H62" s="56"/>
      <c r="I62" s="56"/>
      <c r="J62" s="56"/>
      <c r="K62" s="56"/>
      <c r="L62" s="129"/>
    </row>
    <row r="63" spans="1:20" hidden="1" x14ac:dyDescent="0.2">
      <c r="A63" s="28"/>
      <c r="B63" s="52"/>
      <c r="C63" s="52"/>
      <c r="D63" s="52"/>
      <c r="E63" s="52"/>
      <c r="F63" s="52"/>
      <c r="G63" s="30"/>
      <c r="H63" s="56"/>
      <c r="I63" s="56"/>
      <c r="J63" s="56"/>
      <c r="K63" s="56"/>
      <c r="L63" s="129"/>
    </row>
    <row r="64" spans="1:20" hidden="1" x14ac:dyDescent="0.2">
      <c r="A64" s="28"/>
      <c r="B64" s="52"/>
      <c r="C64" s="52"/>
      <c r="D64" s="52"/>
      <c r="E64" s="52"/>
      <c r="F64" s="52"/>
      <c r="G64" s="30"/>
      <c r="H64" s="56"/>
      <c r="I64" s="56"/>
      <c r="J64" s="56"/>
      <c r="K64" s="56"/>
      <c r="L64" s="129"/>
    </row>
    <row r="65" spans="1:15" hidden="1" x14ac:dyDescent="0.2">
      <c r="A65" s="28"/>
      <c r="B65" s="52"/>
      <c r="C65" s="52"/>
      <c r="D65" s="52"/>
      <c r="E65" s="52"/>
      <c r="F65" s="52"/>
      <c r="G65" s="30"/>
      <c r="H65" s="56"/>
      <c r="I65" s="56"/>
      <c r="J65" s="56"/>
      <c r="K65" s="56"/>
      <c r="L65" s="129"/>
    </row>
    <row r="66" spans="1:15" hidden="1" x14ac:dyDescent="0.2">
      <c r="A66" s="28"/>
      <c r="B66" s="52"/>
      <c r="C66" s="52"/>
      <c r="D66" s="52"/>
      <c r="E66" s="52"/>
      <c r="F66" s="52"/>
      <c r="G66" s="30"/>
      <c r="H66" s="56"/>
      <c r="I66" s="56"/>
      <c r="J66" s="56"/>
      <c r="K66" s="56"/>
      <c r="L66" s="129"/>
    </row>
    <row r="67" spans="1:15" hidden="1" x14ac:dyDescent="0.2">
      <c r="A67" s="28"/>
      <c r="B67" s="52"/>
      <c r="C67" s="52"/>
      <c r="D67" s="52"/>
      <c r="E67" s="52"/>
      <c r="F67" s="52"/>
      <c r="G67" s="30"/>
      <c r="H67" s="56"/>
      <c r="I67" s="56"/>
      <c r="J67" s="56"/>
      <c r="K67" s="56"/>
      <c r="L67" s="129"/>
    </row>
    <row r="68" spans="1:15" hidden="1" x14ac:dyDescent="0.2">
      <c r="A68" s="28"/>
      <c r="B68" s="52"/>
      <c r="C68" s="52"/>
      <c r="D68" s="52"/>
      <c r="E68" s="52"/>
      <c r="F68" s="52"/>
      <c r="G68" s="30"/>
      <c r="H68" s="56"/>
      <c r="I68" s="56"/>
      <c r="J68" s="56"/>
      <c r="K68" s="56"/>
      <c r="L68" s="129"/>
    </row>
    <row r="69" spans="1:15" hidden="1" x14ac:dyDescent="0.2">
      <c r="A69" s="28"/>
      <c r="B69" s="52"/>
      <c r="C69" s="52"/>
      <c r="D69" s="52"/>
      <c r="E69" s="52"/>
      <c r="F69" s="52"/>
      <c r="G69" s="30"/>
      <c r="H69" s="56"/>
      <c r="I69" s="56"/>
      <c r="J69" s="56"/>
      <c r="K69" s="56"/>
      <c r="L69" s="129"/>
      <c r="N69" s="10"/>
    </row>
    <row r="70" spans="1:15" hidden="1" x14ac:dyDescent="0.2">
      <c r="A70" s="28"/>
      <c r="B70" s="52"/>
      <c r="C70" s="52"/>
      <c r="D70" s="52"/>
      <c r="E70" s="52"/>
      <c r="F70" s="52"/>
      <c r="G70" s="30"/>
      <c r="H70" s="56"/>
      <c r="I70" s="56"/>
      <c r="J70" s="56"/>
      <c r="K70" s="56"/>
      <c r="L70" s="129"/>
    </row>
    <row r="71" spans="1:15" hidden="1" x14ac:dyDescent="0.2">
      <c r="A71" s="28"/>
      <c r="B71" s="52"/>
      <c r="C71" s="52"/>
      <c r="D71" s="52"/>
      <c r="E71" s="52"/>
      <c r="F71" s="52"/>
      <c r="G71" s="30"/>
      <c r="H71" s="56"/>
      <c r="I71" s="56"/>
      <c r="J71" s="56"/>
      <c r="K71" s="56"/>
      <c r="L71" s="129"/>
    </row>
    <row r="72" spans="1:15" hidden="1" x14ac:dyDescent="0.2">
      <c r="A72" s="28"/>
      <c r="B72" s="52"/>
      <c r="C72" s="52"/>
      <c r="D72" s="52"/>
      <c r="E72" s="52"/>
      <c r="F72" s="52"/>
      <c r="G72" s="30"/>
      <c r="H72" s="56"/>
      <c r="I72" s="56"/>
      <c r="J72" s="56"/>
      <c r="K72" s="56"/>
      <c r="L72" s="129"/>
      <c r="O72" s="56"/>
    </row>
    <row r="73" spans="1:15" hidden="1" x14ac:dyDescent="0.2">
      <c r="A73" s="28"/>
      <c r="B73" s="52"/>
      <c r="C73" s="52"/>
      <c r="D73" s="52"/>
      <c r="E73" s="52"/>
      <c r="F73" s="52"/>
      <c r="G73" s="30"/>
      <c r="H73" s="56"/>
      <c r="I73" s="56"/>
      <c r="J73" s="56"/>
      <c r="K73" s="56"/>
      <c r="L73" s="129"/>
    </row>
    <row r="74" spans="1:15" hidden="1" x14ac:dyDescent="0.2">
      <c r="A74" s="28"/>
      <c r="B74" s="52"/>
      <c r="C74" s="52"/>
      <c r="D74" s="52"/>
      <c r="E74" s="52"/>
      <c r="F74" s="52"/>
      <c r="G74" s="30"/>
      <c r="H74" s="28"/>
      <c r="I74" s="28"/>
      <c r="J74" s="28"/>
    </row>
    <row r="75" spans="1:15" hidden="1" x14ac:dyDescent="0.2">
      <c r="A75" s="28"/>
      <c r="B75" s="52"/>
      <c r="C75" s="52"/>
      <c r="D75" s="52"/>
      <c r="E75" s="52"/>
      <c r="F75" s="52"/>
      <c r="G75" s="30"/>
      <c r="H75" s="28"/>
      <c r="I75" s="28"/>
      <c r="J75" s="28"/>
    </row>
    <row r="76" spans="1:15" hidden="1" x14ac:dyDescent="0.2">
      <c r="A76" s="28"/>
      <c r="B76" s="52"/>
      <c r="C76" s="52"/>
      <c r="D76" s="52"/>
      <c r="E76" s="52"/>
      <c r="F76" s="52"/>
      <c r="G76" s="30"/>
      <c r="H76" s="28"/>
      <c r="I76" s="28"/>
      <c r="J76" s="28"/>
      <c r="N76" s="10"/>
    </row>
    <row r="77" spans="1:15" hidden="1" x14ac:dyDescent="0.2">
      <c r="A77" s="28"/>
      <c r="B77" s="52"/>
      <c r="C77" s="52"/>
      <c r="D77" s="52"/>
      <c r="E77" s="52"/>
      <c r="F77" s="52"/>
      <c r="G77" s="30"/>
      <c r="H77" s="28"/>
      <c r="I77" s="28"/>
      <c r="J77" s="28"/>
    </row>
    <row r="78" spans="1:15" hidden="1" x14ac:dyDescent="0.2">
      <c r="A78" s="28"/>
      <c r="B78" s="52"/>
      <c r="C78" s="52"/>
      <c r="D78" s="52"/>
      <c r="E78" s="52"/>
      <c r="F78" s="52"/>
      <c r="G78" s="30"/>
      <c r="H78" s="28"/>
      <c r="I78" s="28"/>
      <c r="J78" s="28"/>
    </row>
    <row r="79" spans="1:15" hidden="1" x14ac:dyDescent="0.2">
      <c r="A79" s="28"/>
      <c r="B79" s="52"/>
      <c r="C79" s="52"/>
      <c r="D79" s="52"/>
      <c r="E79" s="52"/>
      <c r="F79" s="52"/>
      <c r="G79" s="30"/>
      <c r="H79" s="28"/>
      <c r="I79" s="28"/>
      <c r="J79" s="28"/>
    </row>
    <row r="80" spans="1:15" hidden="1" x14ac:dyDescent="0.2">
      <c r="A80" s="28"/>
      <c r="B80" s="52"/>
      <c r="C80" s="52"/>
      <c r="D80" s="52"/>
      <c r="E80" s="52"/>
      <c r="F80" s="52"/>
      <c r="G80" s="30"/>
      <c r="H80" s="28"/>
      <c r="I80" s="28"/>
      <c r="J80" s="28"/>
    </row>
    <row r="81" spans="1:10" hidden="1" x14ac:dyDescent="0.2">
      <c r="A81" s="28"/>
      <c r="B81" s="52"/>
      <c r="C81" s="52"/>
      <c r="D81" s="52"/>
      <c r="E81" s="52"/>
      <c r="F81" s="52"/>
      <c r="G81" s="30"/>
      <c r="H81" s="28"/>
      <c r="I81" s="28"/>
      <c r="J81" s="28"/>
    </row>
    <row r="82" spans="1:10" hidden="1" x14ac:dyDescent="0.2">
      <c r="A82" s="28"/>
      <c r="B82" s="52"/>
      <c r="C82" s="52"/>
      <c r="D82" s="52"/>
      <c r="E82" s="52"/>
      <c r="F82" s="52"/>
      <c r="G82" s="30"/>
      <c r="H82" s="28"/>
      <c r="I82" s="28"/>
      <c r="J82" s="28"/>
    </row>
    <row r="83" spans="1:10" hidden="1" x14ac:dyDescent="0.2">
      <c r="A83" s="28"/>
      <c r="B83" s="52"/>
      <c r="C83" s="52"/>
      <c r="D83" s="52"/>
      <c r="E83" s="52"/>
      <c r="F83" s="52"/>
      <c r="G83" s="30"/>
      <c r="H83" s="28"/>
      <c r="I83" s="28"/>
      <c r="J83" s="28"/>
    </row>
    <row r="84" spans="1:10" hidden="1" x14ac:dyDescent="0.2">
      <c r="A84" s="28"/>
      <c r="B84" s="52"/>
      <c r="C84" s="52"/>
      <c r="D84" s="52"/>
      <c r="E84" s="52"/>
      <c r="F84" s="52"/>
      <c r="G84" s="30"/>
      <c r="H84" s="28"/>
      <c r="I84" s="28"/>
      <c r="J84" s="28"/>
    </row>
    <row r="85" spans="1:10" hidden="1" x14ac:dyDescent="0.2">
      <c r="A85" s="28"/>
      <c r="B85" s="52"/>
      <c r="C85" s="52"/>
      <c r="D85" s="52"/>
      <c r="E85" s="52"/>
      <c r="F85" s="52"/>
      <c r="G85" s="30"/>
      <c r="H85" s="28"/>
      <c r="I85" s="28"/>
      <c r="J85" s="28"/>
    </row>
    <row r="86" spans="1:10" hidden="1" x14ac:dyDescent="0.2">
      <c r="A86" s="28"/>
      <c r="B86" s="52"/>
      <c r="C86" s="52"/>
      <c r="D86" s="52"/>
      <c r="E86" s="52"/>
      <c r="F86" s="52"/>
      <c r="G86" s="30"/>
      <c r="H86" s="28"/>
      <c r="I86" s="28"/>
      <c r="J86" s="28"/>
    </row>
    <row r="87" spans="1:10" hidden="1" x14ac:dyDescent="0.2">
      <c r="A87" s="28"/>
      <c r="B87" s="52"/>
      <c r="C87" s="52"/>
      <c r="D87" s="52"/>
      <c r="E87" s="52"/>
      <c r="F87" s="52"/>
      <c r="G87" s="30"/>
      <c r="H87" s="28"/>
      <c r="I87" s="28"/>
      <c r="J87" s="28"/>
    </row>
    <row r="88" spans="1:10" hidden="1" x14ac:dyDescent="0.2">
      <c r="A88" s="28"/>
      <c r="B88" s="52"/>
      <c r="C88" s="52"/>
      <c r="D88" s="52"/>
      <c r="E88" s="52"/>
      <c r="F88" s="52"/>
      <c r="G88" s="30"/>
      <c r="H88" s="28"/>
      <c r="I88" s="28"/>
      <c r="J88" s="28"/>
    </row>
    <row r="89" spans="1:10" hidden="1" x14ac:dyDescent="0.2">
      <c r="A89" s="28"/>
      <c r="B89" s="52"/>
      <c r="C89" s="52"/>
      <c r="D89" s="52"/>
      <c r="E89" s="52"/>
      <c r="F89" s="52"/>
      <c r="G89" s="30"/>
      <c r="H89" s="28"/>
      <c r="I89" s="28"/>
      <c r="J89" s="28"/>
    </row>
    <row r="90" spans="1:10" hidden="1" x14ac:dyDescent="0.2">
      <c r="A90" s="28"/>
      <c r="B90" s="52"/>
      <c r="C90" s="52"/>
      <c r="D90" s="52"/>
      <c r="E90" s="52"/>
      <c r="F90" s="52"/>
      <c r="G90" s="30"/>
      <c r="H90" s="28"/>
      <c r="I90" s="28"/>
      <c r="J90" s="28"/>
    </row>
    <row r="91" spans="1:10" hidden="1" x14ac:dyDescent="0.2">
      <c r="A91" s="28"/>
      <c r="B91" s="52"/>
      <c r="C91" s="52"/>
      <c r="D91" s="52"/>
      <c r="E91" s="52"/>
      <c r="F91" s="52"/>
      <c r="G91" s="30"/>
      <c r="H91" s="28"/>
      <c r="I91" s="28"/>
      <c r="J91" s="28"/>
    </row>
    <row r="92" spans="1:10" x14ac:dyDescent="0.2">
      <c r="A92" s="28"/>
      <c r="G92" s="30"/>
    </row>
    <row r="93" spans="1:10" x14ac:dyDescent="0.2">
      <c r="A93" s="28"/>
      <c r="G93" s="30"/>
    </row>
    <row r="94" spans="1:10" x14ac:dyDescent="0.2">
      <c r="A94" s="28"/>
      <c r="G94" s="30"/>
    </row>
    <row r="95" spans="1:10" x14ac:dyDescent="0.2">
      <c r="A95" s="28"/>
      <c r="G95" s="30"/>
    </row>
    <row r="96" spans="1:10" x14ac:dyDescent="0.2">
      <c r="A96" s="28"/>
      <c r="G96" s="30"/>
    </row>
    <row r="97" spans="1:7" x14ac:dyDescent="0.2">
      <c r="A97" s="28"/>
      <c r="G97" s="31"/>
    </row>
    <row r="98" spans="1:7" x14ac:dyDescent="0.2">
      <c r="A98" s="28"/>
      <c r="G98" s="30"/>
    </row>
    <row r="99" spans="1:7" x14ac:dyDescent="0.2">
      <c r="A99" s="28"/>
      <c r="G99" s="69"/>
    </row>
    <row r="100" spans="1:7" x14ac:dyDescent="0.2">
      <c r="A100" s="28"/>
      <c r="G100" s="28"/>
    </row>
    <row r="101" spans="1:7" x14ac:dyDescent="0.2">
      <c r="A101" s="28"/>
      <c r="G101" s="28"/>
    </row>
    <row r="102" spans="1:7" x14ac:dyDescent="0.2">
      <c r="A102" s="28"/>
      <c r="G102" s="28"/>
    </row>
    <row r="103" spans="1:7" x14ac:dyDescent="0.2">
      <c r="A103" s="28"/>
      <c r="G103" s="28"/>
    </row>
    <row r="104" spans="1:7" x14ac:dyDescent="0.2">
      <c r="A104" s="28"/>
      <c r="G104" s="28"/>
    </row>
    <row r="105" spans="1:7" x14ac:dyDescent="0.2">
      <c r="A105" s="28"/>
      <c r="G105" s="28"/>
    </row>
    <row r="106" spans="1:7" x14ac:dyDescent="0.2">
      <c r="A106" s="28"/>
      <c r="G106" s="28"/>
    </row>
    <row r="107" spans="1:7" x14ac:dyDescent="0.2">
      <c r="A107" s="28"/>
      <c r="G107" s="28"/>
    </row>
    <row r="108" spans="1:7" x14ac:dyDescent="0.2">
      <c r="A108" s="28"/>
      <c r="G108" s="28"/>
    </row>
    <row r="109" spans="1:7" x14ac:dyDescent="0.2">
      <c r="A109" s="28"/>
      <c r="G109" s="28"/>
    </row>
    <row r="110" spans="1:7" x14ac:dyDescent="0.2">
      <c r="A110" s="28"/>
      <c r="G110" s="28"/>
    </row>
    <row r="111" spans="1:7" x14ac:dyDescent="0.2">
      <c r="A111" s="28"/>
      <c r="G111" s="28"/>
    </row>
    <row r="112" spans="1:7" x14ac:dyDescent="0.2">
      <c r="A112" s="28"/>
      <c r="G112" s="28"/>
    </row>
    <row r="113" spans="1:7" x14ac:dyDescent="0.2">
      <c r="A113" s="28"/>
      <c r="G113" s="28"/>
    </row>
    <row r="114" spans="1:7" x14ac:dyDescent="0.2">
      <c r="G114" s="28"/>
    </row>
    <row r="115" spans="1:7" x14ac:dyDescent="0.2">
      <c r="G115" s="28"/>
    </row>
    <row r="116" spans="1:7" x14ac:dyDescent="0.2">
      <c r="G116" s="28"/>
    </row>
    <row r="117" spans="1:7" x14ac:dyDescent="0.2">
      <c r="G117" s="28"/>
    </row>
    <row r="118" spans="1:7" x14ac:dyDescent="0.2">
      <c r="G118" s="28"/>
    </row>
    <row r="119" spans="1:7" x14ac:dyDescent="0.2">
      <c r="G119" s="28"/>
    </row>
    <row r="120" spans="1:7" x14ac:dyDescent="0.2">
      <c r="G120" s="28"/>
    </row>
    <row r="121" spans="1:7" x14ac:dyDescent="0.2">
      <c r="G121" s="28"/>
    </row>
    <row r="122" spans="1:7" x14ac:dyDescent="0.2">
      <c r="G122" s="28"/>
    </row>
    <row r="123" spans="1:7" x14ac:dyDescent="0.2">
      <c r="G123" s="28"/>
    </row>
    <row r="124" spans="1:7" x14ac:dyDescent="0.2">
      <c r="G124" s="28"/>
    </row>
    <row r="125" spans="1:7" x14ac:dyDescent="0.2">
      <c r="G125" s="28"/>
    </row>
    <row r="126" spans="1:7" x14ac:dyDescent="0.2">
      <c r="G126" s="28"/>
    </row>
    <row r="127" spans="1:7" x14ac:dyDescent="0.2">
      <c r="G127" s="28"/>
    </row>
    <row r="128" spans="1:7" x14ac:dyDescent="0.2">
      <c r="G128" s="28"/>
    </row>
    <row r="129" spans="7:7" x14ac:dyDescent="0.2">
      <c r="G129" s="28"/>
    </row>
    <row r="130" spans="7:7" x14ac:dyDescent="0.2">
      <c r="G130" s="28"/>
    </row>
    <row r="131" spans="7:7" x14ac:dyDescent="0.2">
      <c r="G131" s="28"/>
    </row>
    <row r="132" spans="7:7" x14ac:dyDescent="0.2">
      <c r="G132" s="28"/>
    </row>
    <row r="133" spans="7:7" x14ac:dyDescent="0.2">
      <c r="G133" s="28"/>
    </row>
    <row r="134" spans="7:7" x14ac:dyDescent="0.2">
      <c r="G134" s="28"/>
    </row>
    <row r="135" spans="7:7" x14ac:dyDescent="0.2">
      <c r="G135" s="28"/>
    </row>
    <row r="136" spans="7:7" x14ac:dyDescent="0.2">
      <c r="G136" s="28"/>
    </row>
    <row r="137" spans="7:7" x14ac:dyDescent="0.2">
      <c r="G137" s="28"/>
    </row>
    <row r="138" spans="7:7" x14ac:dyDescent="0.2">
      <c r="G138" s="28"/>
    </row>
    <row r="139" spans="7:7" x14ac:dyDescent="0.2">
      <c r="G139" s="28"/>
    </row>
    <row r="140" spans="7:7" x14ac:dyDescent="0.2">
      <c r="G140" s="28"/>
    </row>
    <row r="141" spans="7:7" x14ac:dyDescent="0.2">
      <c r="G141" s="28"/>
    </row>
    <row r="142" spans="7:7" x14ac:dyDescent="0.2">
      <c r="G142" s="28"/>
    </row>
    <row r="143" spans="7:7" x14ac:dyDescent="0.2">
      <c r="G143" s="28"/>
    </row>
    <row r="144" spans="7:7" x14ac:dyDescent="0.2">
      <c r="G144" s="28"/>
    </row>
    <row r="145" spans="7:7" x14ac:dyDescent="0.2">
      <c r="G145" s="28"/>
    </row>
    <row r="146" spans="7:7" x14ac:dyDescent="0.2">
      <c r="G146" s="28"/>
    </row>
    <row r="147" spans="7:7" x14ac:dyDescent="0.2">
      <c r="G147" s="28"/>
    </row>
    <row r="148" spans="7:7" x14ac:dyDescent="0.2">
      <c r="G148" s="28"/>
    </row>
    <row r="149" spans="7:7" x14ac:dyDescent="0.2">
      <c r="G149" s="28"/>
    </row>
    <row r="150" spans="7:7" x14ac:dyDescent="0.2">
      <c r="G150" s="28"/>
    </row>
    <row r="151" spans="7:7" x14ac:dyDescent="0.2">
      <c r="G151" s="28"/>
    </row>
    <row r="152" spans="7:7" x14ac:dyDescent="0.2">
      <c r="G152" s="28"/>
    </row>
    <row r="153" spans="7:7" x14ac:dyDescent="0.2">
      <c r="G153" s="28"/>
    </row>
    <row r="154" spans="7:7" x14ac:dyDescent="0.2">
      <c r="G154" s="28"/>
    </row>
    <row r="155" spans="7:7" x14ac:dyDescent="0.2">
      <c r="G155" s="28"/>
    </row>
    <row r="156" spans="7:7" x14ac:dyDescent="0.2">
      <c r="G156" s="28"/>
    </row>
    <row r="157" spans="7:7" x14ac:dyDescent="0.2">
      <c r="G157" s="28"/>
    </row>
    <row r="158" spans="7:7" x14ac:dyDescent="0.2">
      <c r="G158" s="28"/>
    </row>
    <row r="159" spans="7:7" x14ac:dyDescent="0.2">
      <c r="G159" s="28"/>
    </row>
    <row r="160" spans="7:7" x14ac:dyDescent="0.2">
      <c r="G160" s="28"/>
    </row>
    <row r="161" spans="7:7" x14ac:dyDescent="0.2">
      <c r="G161" s="28"/>
    </row>
    <row r="162" spans="7:7" x14ac:dyDescent="0.2">
      <c r="G162" s="28"/>
    </row>
    <row r="163" spans="7:7" x14ac:dyDescent="0.2">
      <c r="G163" s="28"/>
    </row>
    <row r="164" spans="7:7" x14ac:dyDescent="0.2">
      <c r="G164" s="28"/>
    </row>
    <row r="165" spans="7:7" x14ac:dyDescent="0.2">
      <c r="G165" s="28"/>
    </row>
    <row r="166" spans="7:7" x14ac:dyDescent="0.2">
      <c r="G166" s="28"/>
    </row>
    <row r="167" spans="7:7" x14ac:dyDescent="0.2">
      <c r="G167" s="28"/>
    </row>
    <row r="168" spans="7:7" x14ac:dyDescent="0.2">
      <c r="G168" s="28"/>
    </row>
    <row r="169" spans="7:7" x14ac:dyDescent="0.2">
      <c r="G169" s="28"/>
    </row>
    <row r="170" spans="7:7" x14ac:dyDescent="0.2">
      <c r="G170" s="28"/>
    </row>
  </sheetData>
  <sheetProtection algorithmName="SHA-512" hashValue="tJsU15a9vS55ec0/o5M84OmImRJkQP8G+kNB371ZJ/evp/wWB3QD++g6H5yJFJ4ZIkWvvnAxUxqyVxk9wIw05w==" saltValue="hLEtm4MrIAgyZ2Hxx0qOrA==" spinCount="100000" sheet="1" objects="1" scenarios="1"/>
  <autoFilter ref="M1:M91">
    <filterColumn colId="0">
      <customFilters>
        <customFilter operator="notEqual" val=" "/>
      </customFilters>
    </filterColumn>
  </autoFilter>
  <phoneticPr fontId="9" type="noConversion"/>
  <printOptions horizontalCentered="1"/>
  <pageMargins left="0" right="0" top="0.5" bottom="1" header="0" footer="0"/>
  <pageSetup fitToHeight="5" orientation="landscape" horizontalDpi="300" verticalDpi="300" r:id="rId1"/>
  <headerFooter alignWithMargins="0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D38" sqref="D38"/>
    </sheetView>
  </sheetViews>
  <sheetFormatPr defaultColWidth="9.140625" defaultRowHeight="11.25" x14ac:dyDescent="0.2"/>
  <cols>
    <col min="1" max="1" width="3.5703125" style="119" bestFit="1" customWidth="1"/>
    <col min="2" max="2" width="4.85546875" style="119" bestFit="1" customWidth="1"/>
    <col min="3" max="3" width="4.42578125" style="119" bestFit="1" customWidth="1"/>
    <col min="4" max="4" width="3.5703125" style="119" bestFit="1" customWidth="1"/>
    <col min="5" max="5" width="32.42578125" style="119" bestFit="1" customWidth="1"/>
    <col min="6" max="6" width="12.28515625" style="119" bestFit="1" customWidth="1"/>
    <col min="7" max="7" width="9.140625" style="121"/>
    <col min="8" max="16384" width="9.140625" style="119"/>
  </cols>
  <sheetData>
    <row r="1" spans="1:16" x14ac:dyDescent="0.2">
      <c r="F1" s="120" t="s">
        <v>195</v>
      </c>
    </row>
    <row r="2" spans="1:16" x14ac:dyDescent="0.2">
      <c r="F2" s="120" t="s">
        <v>196</v>
      </c>
    </row>
    <row r="3" spans="1:16" x14ac:dyDescent="0.2">
      <c r="F3" s="120" t="s">
        <v>197</v>
      </c>
    </row>
    <row r="6" spans="1:16" s="122" customFormat="1" ht="13.5" x14ac:dyDescent="0.35">
      <c r="G6" s="123" t="s">
        <v>86</v>
      </c>
    </row>
    <row r="7" spans="1:16" x14ac:dyDescent="0.2">
      <c r="A7" s="124"/>
      <c r="B7" s="124"/>
      <c r="C7" s="124"/>
      <c r="D7" s="124"/>
    </row>
    <row r="8" spans="1:16" x14ac:dyDescent="0.2">
      <c r="A8" s="125"/>
      <c r="B8" s="125"/>
      <c r="C8" s="125"/>
      <c r="D8" s="125"/>
      <c r="E8" s="126"/>
      <c r="F8" s="126" t="s">
        <v>62</v>
      </c>
    </row>
    <row r="9" spans="1:16" x14ac:dyDescent="0.2">
      <c r="A9" s="124">
        <v>100</v>
      </c>
      <c r="B9" s="124">
        <v>3300</v>
      </c>
      <c r="C9" s="124">
        <v>0</v>
      </c>
      <c r="D9" s="124">
        <v>0</v>
      </c>
      <c r="E9" s="119" t="s">
        <v>198</v>
      </c>
      <c r="F9" s="119" t="s">
        <v>199</v>
      </c>
      <c r="G9" s="121">
        <v>2427570.0704274704</v>
      </c>
      <c r="H9" s="121"/>
      <c r="I9" s="121"/>
      <c r="J9" s="121"/>
      <c r="K9" s="121"/>
      <c r="L9" s="121"/>
      <c r="M9" s="121"/>
      <c r="N9" s="121"/>
      <c r="O9" s="121"/>
      <c r="P9" s="121"/>
    </row>
    <row r="10" spans="1:16" x14ac:dyDescent="0.2">
      <c r="A10" s="124">
        <v>100</v>
      </c>
      <c r="B10" s="124">
        <v>3301</v>
      </c>
      <c r="C10" s="124">
        <v>0</v>
      </c>
      <c r="D10" s="124">
        <v>0</v>
      </c>
      <c r="E10" s="119" t="s">
        <v>200</v>
      </c>
      <c r="F10" s="119" t="s">
        <v>199</v>
      </c>
      <c r="G10" s="121">
        <v>13444.119999999999</v>
      </c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x14ac:dyDescent="0.2">
      <c r="A11" s="124">
        <v>100</v>
      </c>
      <c r="B11" s="124">
        <v>3305</v>
      </c>
      <c r="C11" s="124">
        <v>0</v>
      </c>
      <c r="D11" s="124">
        <v>0</v>
      </c>
      <c r="E11" s="119" t="s">
        <v>201</v>
      </c>
      <c r="F11" s="119" t="s">
        <v>199</v>
      </c>
      <c r="G11" s="121">
        <v>46299.929572529785</v>
      </c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x14ac:dyDescent="0.2">
      <c r="A12" s="124">
        <v>100</v>
      </c>
      <c r="B12" s="124">
        <v>3334</v>
      </c>
      <c r="C12" s="124">
        <v>0</v>
      </c>
      <c r="D12" s="124">
        <v>0</v>
      </c>
      <c r="E12" s="119" t="s">
        <v>202</v>
      </c>
      <c r="F12" s="119" t="s">
        <v>203</v>
      </c>
      <c r="G12" s="121">
        <v>3430</v>
      </c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x14ac:dyDescent="0.2">
      <c r="A13" s="124">
        <v>100</v>
      </c>
      <c r="B13" s="124">
        <v>3397</v>
      </c>
      <c r="C13" s="124">
        <v>0</v>
      </c>
      <c r="D13" s="124">
        <v>0</v>
      </c>
      <c r="E13" s="119" t="s">
        <v>204</v>
      </c>
      <c r="F13" s="119" t="s">
        <v>203</v>
      </c>
      <c r="G13" s="121">
        <v>84051.710000000021</v>
      </c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x14ac:dyDescent="0.2">
      <c r="A14" s="124">
        <v>100</v>
      </c>
      <c r="B14" s="124">
        <v>3473</v>
      </c>
      <c r="C14" s="124">
        <v>0</v>
      </c>
      <c r="D14" s="124">
        <v>0</v>
      </c>
      <c r="E14" s="119" t="s">
        <v>205</v>
      </c>
      <c r="F14" s="119" t="s">
        <v>206</v>
      </c>
      <c r="G14" s="121">
        <v>1370.9</v>
      </c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x14ac:dyDescent="0.2">
      <c r="A15" s="124"/>
      <c r="B15" s="124"/>
      <c r="C15" s="124"/>
      <c r="D15" s="124"/>
      <c r="H15" s="121">
        <f>SUM(G9:G14)</f>
        <v>2576166.73</v>
      </c>
    </row>
    <row r="16" spans="1:16" x14ac:dyDescent="0.2">
      <c r="A16" s="124"/>
      <c r="B16" s="124"/>
      <c r="C16" s="124"/>
      <c r="D16" s="124"/>
    </row>
    <row r="17" spans="1:11" x14ac:dyDescent="0.2">
      <c r="A17" s="124"/>
      <c r="B17" s="124"/>
      <c r="C17" s="124"/>
      <c r="D17" s="124"/>
      <c r="F17" s="119" t="s">
        <v>62</v>
      </c>
    </row>
    <row r="18" spans="1:11" x14ac:dyDescent="0.2">
      <c r="A18" s="124">
        <v>100</v>
      </c>
      <c r="B18" s="124">
        <v>4000</v>
      </c>
      <c r="C18" s="124">
        <v>7300</v>
      </c>
      <c r="D18" s="124">
        <v>110</v>
      </c>
      <c r="E18" s="119" t="s">
        <v>153</v>
      </c>
      <c r="F18" s="119" t="s">
        <v>219</v>
      </c>
      <c r="G18" s="121">
        <v>85786.62</v>
      </c>
      <c r="I18" s="119" t="s">
        <v>169</v>
      </c>
      <c r="J18" s="121">
        <f>SUM(G18:G22)</f>
        <v>915946.39200000011</v>
      </c>
    </row>
    <row r="19" spans="1:11" x14ac:dyDescent="0.2">
      <c r="A19" s="124">
        <v>100</v>
      </c>
      <c r="B19" s="124">
        <v>4000</v>
      </c>
      <c r="C19" s="124">
        <v>5100</v>
      </c>
      <c r="D19" s="124">
        <v>120</v>
      </c>
      <c r="E19" s="119" t="s">
        <v>207</v>
      </c>
      <c r="F19" s="119" t="s">
        <v>208</v>
      </c>
      <c r="G19" s="121">
        <v>489808.35600000003</v>
      </c>
      <c r="I19" s="143">
        <v>210</v>
      </c>
      <c r="J19" s="121">
        <f>SUM(G24,G23)</f>
        <v>2246</v>
      </c>
      <c r="K19" s="144">
        <f>J19/J18</f>
        <v>2.4521085727471264E-3</v>
      </c>
    </row>
    <row r="20" spans="1:11" x14ac:dyDescent="0.2">
      <c r="A20" s="124">
        <v>100</v>
      </c>
      <c r="B20" s="124">
        <v>4000</v>
      </c>
      <c r="C20" s="124">
        <v>5200</v>
      </c>
      <c r="D20" s="124">
        <v>120</v>
      </c>
      <c r="E20" s="119" t="s">
        <v>191</v>
      </c>
      <c r="F20" s="119" t="s">
        <v>208</v>
      </c>
      <c r="G20" s="121">
        <v>214427.47200000001</v>
      </c>
      <c r="I20" s="143">
        <v>220</v>
      </c>
      <c r="J20" s="121">
        <f>SUM(G25:G27)</f>
        <v>65298.096000000005</v>
      </c>
      <c r="K20" s="144">
        <f>J20/J18</f>
        <v>7.1290303199316493E-2</v>
      </c>
    </row>
    <row r="21" spans="1:11" x14ac:dyDescent="0.2">
      <c r="A21" s="124">
        <v>100</v>
      </c>
      <c r="B21" s="124">
        <v>4000</v>
      </c>
      <c r="C21" s="124">
        <v>5200</v>
      </c>
      <c r="D21" s="124">
        <v>150</v>
      </c>
      <c r="E21" s="119" t="s">
        <v>214</v>
      </c>
      <c r="F21" s="119" t="s">
        <v>208</v>
      </c>
      <c r="G21" s="121">
        <v>50914.5</v>
      </c>
      <c r="I21" s="143">
        <v>230</v>
      </c>
      <c r="J21" s="121">
        <f>SUM(G28:G30)</f>
        <v>72124.527272727268</v>
      </c>
      <c r="K21" s="144">
        <f>J21/J18</f>
        <v>7.87431752585879E-2</v>
      </c>
    </row>
    <row r="22" spans="1:11" x14ac:dyDescent="0.2">
      <c r="A22" s="124">
        <v>100</v>
      </c>
      <c r="B22" s="124">
        <v>4000</v>
      </c>
      <c r="C22" s="124">
        <v>7300</v>
      </c>
      <c r="D22" s="124">
        <v>160</v>
      </c>
      <c r="E22" s="119" t="s">
        <v>149</v>
      </c>
      <c r="F22" s="119" t="s">
        <v>219</v>
      </c>
      <c r="G22" s="121">
        <v>75009.443999999989</v>
      </c>
      <c r="I22" s="143">
        <v>240</v>
      </c>
      <c r="J22" s="121">
        <f>SUM(G31:G33)</f>
        <v>3890.1390000000001</v>
      </c>
      <c r="K22" s="144">
        <f>J22/J18</f>
        <v>4.2471251963837634E-3</v>
      </c>
    </row>
    <row r="23" spans="1:11" x14ac:dyDescent="0.2">
      <c r="A23" s="124">
        <v>100</v>
      </c>
      <c r="B23" s="124">
        <v>4000</v>
      </c>
      <c r="C23" s="124">
        <v>5100</v>
      </c>
      <c r="D23" s="124">
        <v>210</v>
      </c>
      <c r="E23" s="119" t="s">
        <v>209</v>
      </c>
      <c r="F23" s="119" t="s">
        <v>208</v>
      </c>
      <c r="G23" s="121">
        <v>2146</v>
      </c>
      <c r="I23" s="143">
        <v>250</v>
      </c>
      <c r="J23" s="121">
        <f>SUM(G34:G36)</f>
        <v>5239.7725</v>
      </c>
      <c r="K23" s="144">
        <f>J23/J18</f>
        <v>5.7206104481276228E-3</v>
      </c>
    </row>
    <row r="24" spans="1:11" x14ac:dyDescent="0.2">
      <c r="A24" s="124">
        <v>100</v>
      </c>
      <c r="B24" s="124">
        <v>4000</v>
      </c>
      <c r="C24" s="124">
        <v>5200</v>
      </c>
      <c r="D24" s="124">
        <v>210</v>
      </c>
      <c r="E24" s="119" t="s">
        <v>215</v>
      </c>
      <c r="F24" s="119" t="s">
        <v>208</v>
      </c>
      <c r="G24" s="121">
        <v>100</v>
      </c>
      <c r="I24" s="143"/>
    </row>
    <row r="25" spans="1:11" x14ac:dyDescent="0.2">
      <c r="A25" s="124">
        <v>100</v>
      </c>
      <c r="B25" s="124">
        <v>4000</v>
      </c>
      <c r="C25" s="124">
        <v>5100</v>
      </c>
      <c r="D25" s="124">
        <v>220</v>
      </c>
      <c r="E25" s="119" t="s">
        <v>210</v>
      </c>
      <c r="F25" s="119" t="s">
        <v>208</v>
      </c>
      <c r="G25" s="121">
        <v>35278.883999999998</v>
      </c>
    </row>
    <row r="26" spans="1:11" x14ac:dyDescent="0.2">
      <c r="A26" s="124">
        <v>100</v>
      </c>
      <c r="B26" s="124">
        <v>4000</v>
      </c>
      <c r="C26" s="124">
        <v>5200</v>
      </c>
      <c r="D26" s="124">
        <v>220</v>
      </c>
      <c r="E26" s="119" t="s">
        <v>216</v>
      </c>
      <c r="F26" s="119" t="s">
        <v>208</v>
      </c>
      <c r="G26" s="121">
        <v>19139.988000000001</v>
      </c>
    </row>
    <row r="27" spans="1:11" x14ac:dyDescent="0.2">
      <c r="A27" s="124">
        <v>100</v>
      </c>
      <c r="B27" s="124">
        <v>4000</v>
      </c>
      <c r="C27" s="124">
        <v>7300</v>
      </c>
      <c r="D27" s="124">
        <v>220</v>
      </c>
      <c r="E27" s="119" t="s">
        <v>220</v>
      </c>
      <c r="F27" s="119" t="s">
        <v>219</v>
      </c>
      <c r="G27" s="121">
        <v>10879.223999999998</v>
      </c>
    </row>
    <row r="28" spans="1:11" x14ac:dyDescent="0.2">
      <c r="A28" s="124">
        <v>100</v>
      </c>
      <c r="B28" s="124">
        <v>4000</v>
      </c>
      <c r="C28" s="124">
        <v>5100</v>
      </c>
      <c r="D28" s="124">
        <v>230</v>
      </c>
      <c r="E28" s="119" t="s">
        <v>211</v>
      </c>
      <c r="F28" s="119" t="s">
        <v>208</v>
      </c>
      <c r="G28" s="121">
        <v>51936.130909090913</v>
      </c>
    </row>
    <row r="29" spans="1:11" x14ac:dyDescent="0.2">
      <c r="A29" s="124">
        <v>100</v>
      </c>
      <c r="B29" s="124">
        <v>4000</v>
      </c>
      <c r="C29" s="124">
        <v>5200</v>
      </c>
      <c r="D29" s="124">
        <v>230</v>
      </c>
      <c r="E29" s="119" t="s">
        <v>217</v>
      </c>
      <c r="F29" s="119" t="s">
        <v>208</v>
      </c>
      <c r="G29" s="121">
        <v>8300.3454545454551</v>
      </c>
    </row>
    <row r="30" spans="1:11" x14ac:dyDescent="0.2">
      <c r="A30" s="124">
        <v>100</v>
      </c>
      <c r="B30" s="124">
        <v>4000</v>
      </c>
      <c r="C30" s="124">
        <v>7300</v>
      </c>
      <c r="D30" s="124">
        <v>230</v>
      </c>
      <c r="E30" s="119" t="s">
        <v>221</v>
      </c>
      <c r="F30" s="119" t="s">
        <v>219</v>
      </c>
      <c r="G30" s="121">
        <v>11888.050909090905</v>
      </c>
    </row>
    <row r="31" spans="1:11" x14ac:dyDescent="0.2">
      <c r="A31" s="124">
        <v>100</v>
      </c>
      <c r="B31" s="124">
        <v>4000</v>
      </c>
      <c r="C31" s="124">
        <v>5100</v>
      </c>
      <c r="D31" s="124">
        <v>240</v>
      </c>
      <c r="E31" s="119" t="s">
        <v>212</v>
      </c>
      <c r="F31" s="119" t="s">
        <v>208</v>
      </c>
      <c r="G31" s="121">
        <v>3001.9100000000003</v>
      </c>
    </row>
    <row r="32" spans="1:11" x14ac:dyDescent="0.2">
      <c r="A32" s="124">
        <v>100</v>
      </c>
      <c r="B32" s="124">
        <v>4000</v>
      </c>
      <c r="C32" s="124">
        <v>7300</v>
      </c>
      <c r="D32" s="124">
        <v>240</v>
      </c>
      <c r="E32" s="119" t="s">
        <v>222</v>
      </c>
      <c r="F32" s="119" t="s">
        <v>219</v>
      </c>
      <c r="G32" s="121">
        <v>888.22899999999993</v>
      </c>
    </row>
    <row r="33" spans="1:7" x14ac:dyDescent="0.2">
      <c r="A33" s="124">
        <v>100</v>
      </c>
      <c r="B33" s="124">
        <v>4000</v>
      </c>
      <c r="C33" s="124">
        <v>7900</v>
      </c>
      <c r="D33" s="124">
        <v>240</v>
      </c>
      <c r="E33" s="119" t="s">
        <v>147</v>
      </c>
      <c r="F33" s="119" t="s">
        <v>224</v>
      </c>
      <c r="G33" s="121">
        <v>0</v>
      </c>
    </row>
    <row r="34" spans="1:7" x14ac:dyDescent="0.2">
      <c r="A34" s="124">
        <v>100</v>
      </c>
      <c r="B34" s="124">
        <v>4000</v>
      </c>
      <c r="C34" s="124">
        <v>5100</v>
      </c>
      <c r="D34" s="124">
        <v>250</v>
      </c>
      <c r="E34" s="119" t="s">
        <v>213</v>
      </c>
      <c r="F34" s="119" t="s">
        <v>208</v>
      </c>
      <c r="G34" s="121">
        <v>3171.02</v>
      </c>
    </row>
    <row r="35" spans="1:7" x14ac:dyDescent="0.2">
      <c r="A35" s="124">
        <v>100</v>
      </c>
      <c r="B35" s="124">
        <v>4000</v>
      </c>
      <c r="C35" s="124">
        <v>5200</v>
      </c>
      <c r="D35" s="124">
        <v>250</v>
      </c>
      <c r="E35" s="119" t="s">
        <v>218</v>
      </c>
      <c r="F35" s="119" t="s">
        <v>208</v>
      </c>
      <c r="G35" s="121">
        <v>1434.5525</v>
      </c>
    </row>
    <row r="36" spans="1:7" x14ac:dyDescent="0.2">
      <c r="A36" s="124">
        <v>100</v>
      </c>
      <c r="B36" s="124">
        <v>4000</v>
      </c>
      <c r="C36" s="124">
        <v>7300</v>
      </c>
      <c r="D36" s="124">
        <v>250</v>
      </c>
      <c r="E36" s="119" t="s">
        <v>223</v>
      </c>
      <c r="F36" s="119" t="s">
        <v>219</v>
      </c>
      <c r="G36" s="121">
        <v>634.20000000000005</v>
      </c>
    </row>
    <row r="37" spans="1:7" x14ac:dyDescent="0.2">
      <c r="A37" s="124"/>
      <c r="B37" s="124"/>
      <c r="C37" s="124"/>
      <c r="D37" s="124"/>
    </row>
    <row r="38" spans="1:7" x14ac:dyDescent="0.2">
      <c r="A38" s="124">
        <v>100</v>
      </c>
      <c r="B38" s="124">
        <v>4000</v>
      </c>
      <c r="C38" s="124">
        <v>5100</v>
      </c>
      <c r="D38" s="124">
        <v>310</v>
      </c>
      <c r="E38" s="119" t="s">
        <v>242</v>
      </c>
      <c r="F38" s="119" t="s">
        <v>243</v>
      </c>
      <c r="G38" s="121">
        <v>0</v>
      </c>
    </row>
    <row r="39" spans="1:7" x14ac:dyDescent="0.2">
      <c r="A39" s="124">
        <v>100</v>
      </c>
      <c r="B39" s="124">
        <v>4000</v>
      </c>
      <c r="C39" s="124">
        <v>5100</v>
      </c>
      <c r="D39" s="124">
        <v>315</v>
      </c>
      <c r="E39" s="119" t="s">
        <v>164</v>
      </c>
      <c r="F39" s="119" t="s">
        <v>246</v>
      </c>
      <c r="G39" s="121">
        <v>1265.651111111111</v>
      </c>
    </row>
    <row r="40" spans="1:7" x14ac:dyDescent="0.2">
      <c r="A40" s="124">
        <v>100</v>
      </c>
      <c r="B40" s="124">
        <v>4000</v>
      </c>
      <c r="C40" s="124">
        <v>5100</v>
      </c>
      <c r="D40" s="124">
        <v>330</v>
      </c>
      <c r="E40" s="119" t="s">
        <v>247</v>
      </c>
      <c r="F40" s="119" t="s">
        <v>246</v>
      </c>
      <c r="G40" s="121">
        <v>130.9</v>
      </c>
    </row>
    <row r="41" spans="1:7" x14ac:dyDescent="0.2">
      <c r="A41" s="124">
        <v>100</v>
      </c>
      <c r="B41" s="124">
        <v>4000</v>
      </c>
      <c r="C41" s="124">
        <v>5100</v>
      </c>
      <c r="D41" s="124">
        <v>390</v>
      </c>
      <c r="E41" s="119" t="s">
        <v>248</v>
      </c>
      <c r="F41" s="119" t="s">
        <v>246</v>
      </c>
      <c r="G41" s="121">
        <v>848.71111111111111</v>
      </c>
    </row>
    <row r="42" spans="1:7" x14ac:dyDescent="0.2">
      <c r="A42" s="124">
        <v>100</v>
      </c>
      <c r="B42" s="124">
        <v>4000</v>
      </c>
      <c r="C42" s="124">
        <v>5100</v>
      </c>
      <c r="D42" s="124">
        <v>510</v>
      </c>
      <c r="E42" s="119" t="s">
        <v>106</v>
      </c>
      <c r="F42" s="119" t="s">
        <v>246</v>
      </c>
      <c r="G42" s="121">
        <v>16376.489777777781</v>
      </c>
    </row>
    <row r="43" spans="1:7" x14ac:dyDescent="0.2">
      <c r="A43" s="124">
        <v>100</v>
      </c>
      <c r="B43" s="124">
        <v>4000</v>
      </c>
      <c r="C43" s="124">
        <v>5100</v>
      </c>
      <c r="D43" s="124">
        <v>515</v>
      </c>
      <c r="E43" s="119" t="s">
        <v>249</v>
      </c>
      <c r="F43" s="119" t="s">
        <v>246</v>
      </c>
      <c r="G43" s="121">
        <v>20897.225454545456</v>
      </c>
    </row>
    <row r="44" spans="1:7" x14ac:dyDescent="0.2">
      <c r="A44" s="124">
        <v>100</v>
      </c>
      <c r="B44" s="124">
        <v>4000</v>
      </c>
      <c r="C44" s="124">
        <v>5100</v>
      </c>
      <c r="D44" s="124">
        <v>520</v>
      </c>
      <c r="E44" s="119" t="s">
        <v>250</v>
      </c>
      <c r="F44" s="119" t="s">
        <v>246</v>
      </c>
      <c r="G44" s="121">
        <v>107.892</v>
      </c>
    </row>
    <row r="45" spans="1:7" x14ac:dyDescent="0.2">
      <c r="A45" s="124">
        <v>100</v>
      </c>
      <c r="B45" s="124">
        <v>4000</v>
      </c>
      <c r="C45" s="124">
        <v>5100</v>
      </c>
      <c r="D45" s="124">
        <v>640</v>
      </c>
      <c r="E45" s="119" t="s">
        <v>233</v>
      </c>
      <c r="F45" s="119" t="s">
        <v>232</v>
      </c>
      <c r="G45" s="127">
        <v>9233.4684000000016</v>
      </c>
    </row>
    <row r="46" spans="1:7" x14ac:dyDescent="0.2">
      <c r="A46" s="124">
        <v>100</v>
      </c>
      <c r="B46" s="124">
        <v>4000</v>
      </c>
      <c r="C46" s="124">
        <v>5100</v>
      </c>
      <c r="D46" s="124">
        <v>643</v>
      </c>
      <c r="E46" s="119" t="s">
        <v>235</v>
      </c>
      <c r="F46" s="119" t="s">
        <v>232</v>
      </c>
      <c r="G46" s="127">
        <v>1486.2317999999998</v>
      </c>
    </row>
    <row r="47" spans="1:7" x14ac:dyDescent="0.2">
      <c r="A47" s="124">
        <v>100</v>
      </c>
      <c r="B47" s="124">
        <v>4000</v>
      </c>
      <c r="C47" s="124">
        <v>5100</v>
      </c>
      <c r="D47" s="124">
        <v>690</v>
      </c>
      <c r="E47" s="119" t="s">
        <v>237</v>
      </c>
      <c r="F47" s="119" t="s">
        <v>232</v>
      </c>
      <c r="G47" s="127">
        <v>125903.08</v>
      </c>
    </row>
    <row r="48" spans="1:7" x14ac:dyDescent="0.2">
      <c r="A48" s="124">
        <v>100</v>
      </c>
      <c r="B48" s="124">
        <v>4000</v>
      </c>
      <c r="C48" s="124">
        <v>5200</v>
      </c>
      <c r="D48" s="124">
        <v>310</v>
      </c>
      <c r="E48" s="119" t="s">
        <v>244</v>
      </c>
      <c r="F48" s="119" t="s">
        <v>243</v>
      </c>
      <c r="G48" s="121">
        <v>64433.333333333336</v>
      </c>
    </row>
    <row r="49" spans="1:7" x14ac:dyDescent="0.2">
      <c r="A49" s="124">
        <v>100</v>
      </c>
      <c r="B49" s="124">
        <v>4000</v>
      </c>
      <c r="C49" s="124">
        <v>6300</v>
      </c>
      <c r="D49" s="124">
        <v>590</v>
      </c>
      <c r="E49" s="119" t="s">
        <v>251</v>
      </c>
      <c r="F49" s="119" t="s">
        <v>246</v>
      </c>
      <c r="G49" s="121">
        <v>313.09090909090907</v>
      </c>
    </row>
    <row r="50" spans="1:7" x14ac:dyDescent="0.2">
      <c r="A50" s="124">
        <v>100</v>
      </c>
      <c r="B50" s="124">
        <v>4000</v>
      </c>
      <c r="C50" s="124">
        <v>6400</v>
      </c>
      <c r="D50" s="124">
        <v>310</v>
      </c>
      <c r="E50" s="119" t="s">
        <v>110</v>
      </c>
      <c r="F50" s="119" t="s">
        <v>243</v>
      </c>
      <c r="G50" s="121">
        <v>2297.36</v>
      </c>
    </row>
    <row r="51" spans="1:7" x14ac:dyDescent="0.2">
      <c r="A51" s="124">
        <v>100</v>
      </c>
      <c r="B51" s="124">
        <v>4000</v>
      </c>
      <c r="C51" s="124">
        <v>6500</v>
      </c>
      <c r="D51" s="124">
        <v>310</v>
      </c>
      <c r="E51" s="119" t="s">
        <v>111</v>
      </c>
      <c r="F51" s="119" t="s">
        <v>246</v>
      </c>
      <c r="G51" s="121">
        <v>63744</v>
      </c>
    </row>
    <row r="52" spans="1:7" x14ac:dyDescent="0.2">
      <c r="A52" s="124">
        <v>100</v>
      </c>
      <c r="B52" s="124">
        <v>4000</v>
      </c>
      <c r="C52" s="124">
        <v>7100</v>
      </c>
      <c r="D52" s="124">
        <v>310</v>
      </c>
      <c r="E52" s="119" t="s">
        <v>112</v>
      </c>
      <c r="F52" s="119" t="s">
        <v>243</v>
      </c>
      <c r="G52" s="121">
        <v>30838.5</v>
      </c>
    </row>
    <row r="53" spans="1:7" x14ac:dyDescent="0.2">
      <c r="A53" s="124">
        <v>100</v>
      </c>
      <c r="B53" s="124">
        <v>4000</v>
      </c>
      <c r="C53" s="124">
        <v>7100</v>
      </c>
      <c r="D53" s="124">
        <v>315</v>
      </c>
      <c r="E53" s="119" t="s">
        <v>245</v>
      </c>
      <c r="F53" s="119" t="s">
        <v>243</v>
      </c>
      <c r="G53" s="121">
        <v>323465.06</v>
      </c>
    </row>
    <row r="54" spans="1:7" x14ac:dyDescent="0.2">
      <c r="A54" s="124">
        <v>100</v>
      </c>
      <c r="B54" s="124">
        <v>4000</v>
      </c>
      <c r="C54" s="124">
        <v>7100</v>
      </c>
      <c r="D54" s="124">
        <v>320</v>
      </c>
      <c r="E54" s="119" t="s">
        <v>230</v>
      </c>
      <c r="F54" s="119" t="s">
        <v>60</v>
      </c>
      <c r="G54" s="121">
        <v>1651.7</v>
      </c>
    </row>
    <row r="55" spans="1:7" x14ac:dyDescent="0.2">
      <c r="A55" s="124">
        <v>100</v>
      </c>
      <c r="B55" s="124">
        <v>4000</v>
      </c>
      <c r="C55" s="124">
        <v>7100</v>
      </c>
      <c r="D55" s="124">
        <v>790</v>
      </c>
      <c r="E55" s="119" t="s">
        <v>225</v>
      </c>
      <c r="F55" s="119" t="s">
        <v>225</v>
      </c>
      <c r="G55" s="121">
        <v>77393.570427470215</v>
      </c>
    </row>
    <row r="56" spans="1:7" x14ac:dyDescent="0.2">
      <c r="A56" s="124">
        <v>100</v>
      </c>
      <c r="B56" s="124">
        <v>4000</v>
      </c>
      <c r="C56" s="124">
        <v>7100</v>
      </c>
      <c r="D56" s="124">
        <v>795</v>
      </c>
      <c r="E56" s="119" t="s">
        <v>114</v>
      </c>
      <c r="F56" s="119" t="s">
        <v>252</v>
      </c>
      <c r="G56" s="121">
        <v>51.599999999999994</v>
      </c>
    </row>
    <row r="57" spans="1:7" x14ac:dyDescent="0.2">
      <c r="A57" s="124">
        <v>100</v>
      </c>
      <c r="B57" s="124">
        <v>4000</v>
      </c>
      <c r="C57" s="124">
        <v>7300</v>
      </c>
      <c r="D57" s="124">
        <v>320</v>
      </c>
      <c r="E57" s="119" t="s">
        <v>231</v>
      </c>
      <c r="F57" s="119" t="s">
        <v>60</v>
      </c>
      <c r="G57" s="121">
        <v>0</v>
      </c>
    </row>
    <row r="58" spans="1:7" x14ac:dyDescent="0.2">
      <c r="A58" s="124">
        <v>100</v>
      </c>
      <c r="B58" s="124">
        <v>4000</v>
      </c>
      <c r="C58" s="124">
        <v>7300</v>
      </c>
      <c r="D58" s="124">
        <v>330</v>
      </c>
      <c r="E58" s="119" t="s">
        <v>253</v>
      </c>
      <c r="F58" s="119" t="s">
        <v>252</v>
      </c>
      <c r="G58" s="121">
        <v>1551.2399999999998</v>
      </c>
    </row>
    <row r="59" spans="1:7" x14ac:dyDescent="0.2">
      <c r="A59" s="124">
        <v>100</v>
      </c>
      <c r="B59" s="124">
        <v>4000</v>
      </c>
      <c r="C59" s="124">
        <v>7300</v>
      </c>
      <c r="D59" s="124">
        <v>370</v>
      </c>
      <c r="E59" s="119" t="s">
        <v>254</v>
      </c>
      <c r="F59" s="119" t="s">
        <v>252</v>
      </c>
      <c r="G59" s="121">
        <v>2407.4880000000003</v>
      </c>
    </row>
    <row r="60" spans="1:7" x14ac:dyDescent="0.2">
      <c r="A60" s="124">
        <v>100</v>
      </c>
      <c r="B60" s="124">
        <v>4000</v>
      </c>
      <c r="C60" s="124">
        <v>7300</v>
      </c>
      <c r="D60" s="124">
        <v>390</v>
      </c>
      <c r="E60" s="119" t="s">
        <v>255</v>
      </c>
      <c r="F60" s="119" t="s">
        <v>252</v>
      </c>
      <c r="G60" s="121">
        <v>33713.574545454547</v>
      </c>
    </row>
    <row r="61" spans="1:7" x14ac:dyDescent="0.2">
      <c r="A61" s="124">
        <v>100</v>
      </c>
      <c r="B61" s="124">
        <v>4000</v>
      </c>
      <c r="C61" s="124">
        <v>7300</v>
      </c>
      <c r="D61" s="124">
        <v>510</v>
      </c>
      <c r="E61" s="119" t="s">
        <v>256</v>
      </c>
      <c r="F61" s="119" t="s">
        <v>252</v>
      </c>
      <c r="G61" s="121">
        <v>20510.412</v>
      </c>
    </row>
    <row r="62" spans="1:7" x14ac:dyDescent="0.2">
      <c r="A62" s="124">
        <v>100</v>
      </c>
      <c r="B62" s="124">
        <v>4000</v>
      </c>
      <c r="C62" s="124">
        <v>7300</v>
      </c>
      <c r="D62" s="124">
        <v>640</v>
      </c>
      <c r="E62" s="119" t="s">
        <v>234</v>
      </c>
      <c r="F62" s="119" t="s">
        <v>232</v>
      </c>
      <c r="G62" s="127">
        <v>2072.4462000000003</v>
      </c>
    </row>
    <row r="63" spans="1:7" x14ac:dyDescent="0.2">
      <c r="A63" s="124">
        <v>100</v>
      </c>
      <c r="B63" s="124">
        <v>4000</v>
      </c>
      <c r="C63" s="124">
        <v>7300</v>
      </c>
      <c r="D63" s="124">
        <v>644</v>
      </c>
      <c r="E63" s="119" t="s">
        <v>236</v>
      </c>
      <c r="F63" s="119" t="s">
        <v>232</v>
      </c>
      <c r="G63" s="127">
        <v>247.82939999999999</v>
      </c>
    </row>
    <row r="64" spans="1:7" x14ac:dyDescent="0.2">
      <c r="A64" s="124">
        <v>100</v>
      </c>
      <c r="B64" s="124">
        <v>4000</v>
      </c>
      <c r="C64" s="124">
        <v>7300</v>
      </c>
      <c r="D64" s="124">
        <v>730</v>
      </c>
      <c r="E64" s="119" t="s">
        <v>113</v>
      </c>
      <c r="F64" s="119" t="s">
        <v>252</v>
      </c>
      <c r="G64" s="121">
        <v>5577.96</v>
      </c>
    </row>
    <row r="65" spans="1:8" x14ac:dyDescent="0.2">
      <c r="A65" s="124">
        <v>100</v>
      </c>
      <c r="B65" s="124">
        <v>4000</v>
      </c>
      <c r="C65" s="124">
        <v>7400</v>
      </c>
      <c r="D65" s="124">
        <v>360</v>
      </c>
      <c r="E65" s="119" t="s">
        <v>119</v>
      </c>
      <c r="F65" s="119" t="s">
        <v>238</v>
      </c>
      <c r="G65" s="121">
        <v>309499.02999999997</v>
      </c>
    </row>
    <row r="66" spans="1:8" x14ac:dyDescent="0.2">
      <c r="A66" s="124">
        <v>100</v>
      </c>
      <c r="B66" s="124">
        <v>4000</v>
      </c>
      <c r="C66" s="124">
        <v>7400</v>
      </c>
      <c r="D66" s="124">
        <v>630</v>
      </c>
      <c r="E66" s="119" t="s">
        <v>142</v>
      </c>
      <c r="F66" s="119" t="s">
        <v>232</v>
      </c>
      <c r="G66" s="127">
        <v>0</v>
      </c>
    </row>
    <row r="67" spans="1:8" x14ac:dyDescent="0.2">
      <c r="A67" s="124">
        <v>100</v>
      </c>
      <c r="B67" s="124">
        <v>4000</v>
      </c>
      <c r="C67" s="124">
        <v>7500</v>
      </c>
      <c r="D67" s="124">
        <v>310</v>
      </c>
      <c r="E67" s="119" t="s">
        <v>120</v>
      </c>
      <c r="F67" s="119" t="s">
        <v>243</v>
      </c>
      <c r="G67" s="121">
        <v>67101.340028030827</v>
      </c>
    </row>
    <row r="68" spans="1:8" x14ac:dyDescent="0.2">
      <c r="A68" s="124">
        <v>100</v>
      </c>
      <c r="B68" s="124">
        <v>4000</v>
      </c>
      <c r="C68" s="124">
        <v>7500</v>
      </c>
      <c r="D68" s="124">
        <v>311</v>
      </c>
      <c r="E68" s="119" t="s">
        <v>121</v>
      </c>
      <c r="F68" s="119" t="s">
        <v>243</v>
      </c>
      <c r="G68" s="121">
        <v>928.24800000000005</v>
      </c>
    </row>
    <row r="69" spans="1:8" x14ac:dyDescent="0.2">
      <c r="A69" s="124">
        <v>100</v>
      </c>
      <c r="B69" s="124">
        <v>4000</v>
      </c>
      <c r="C69" s="124">
        <v>7600</v>
      </c>
      <c r="D69" s="124">
        <v>310</v>
      </c>
      <c r="E69" s="119" t="s">
        <v>226</v>
      </c>
      <c r="F69" s="119" t="s">
        <v>227</v>
      </c>
      <c r="G69" s="121">
        <v>3919.38</v>
      </c>
    </row>
    <row r="70" spans="1:8" x14ac:dyDescent="0.2">
      <c r="A70" s="124">
        <v>100</v>
      </c>
      <c r="B70" s="124">
        <v>4000</v>
      </c>
      <c r="C70" s="124">
        <v>7800</v>
      </c>
      <c r="D70" s="124">
        <v>310</v>
      </c>
      <c r="E70" s="119" t="s">
        <v>228</v>
      </c>
      <c r="F70" s="119" t="s">
        <v>229</v>
      </c>
      <c r="G70" s="121">
        <v>40055.277777777781</v>
      </c>
    </row>
    <row r="71" spans="1:8" x14ac:dyDescent="0.2">
      <c r="A71" s="124">
        <v>100</v>
      </c>
      <c r="B71" s="124">
        <v>4000</v>
      </c>
      <c r="C71" s="124">
        <v>7900</v>
      </c>
      <c r="D71" s="124">
        <v>320</v>
      </c>
      <c r="E71" s="119" t="s">
        <v>124</v>
      </c>
      <c r="F71" s="119" t="s">
        <v>60</v>
      </c>
      <c r="G71" s="121">
        <v>9511.5499999999993</v>
      </c>
    </row>
    <row r="72" spans="1:8" x14ac:dyDescent="0.2">
      <c r="A72" s="124">
        <v>100</v>
      </c>
      <c r="B72" s="124">
        <v>4000</v>
      </c>
      <c r="C72" s="124">
        <v>7900</v>
      </c>
      <c r="D72" s="124">
        <v>351</v>
      </c>
      <c r="E72" s="119" t="s">
        <v>143</v>
      </c>
      <c r="F72" s="119" t="s">
        <v>239</v>
      </c>
      <c r="G72" s="127">
        <v>26128.129999999997</v>
      </c>
    </row>
    <row r="73" spans="1:8" x14ac:dyDescent="0.2">
      <c r="A73" s="124">
        <v>100</v>
      </c>
      <c r="B73" s="124">
        <v>4000</v>
      </c>
      <c r="C73" s="124">
        <v>7900</v>
      </c>
      <c r="D73" s="124">
        <v>352</v>
      </c>
      <c r="E73" s="119" t="s">
        <v>240</v>
      </c>
      <c r="F73" s="119" t="s">
        <v>239</v>
      </c>
      <c r="G73" s="127">
        <v>68255.28</v>
      </c>
    </row>
    <row r="74" spans="1:8" x14ac:dyDescent="0.2">
      <c r="A74" s="124">
        <v>100</v>
      </c>
      <c r="B74" s="124">
        <v>4000</v>
      </c>
      <c r="C74" s="124">
        <v>7900</v>
      </c>
      <c r="D74" s="124">
        <v>370</v>
      </c>
      <c r="E74" s="119" t="s">
        <v>125</v>
      </c>
      <c r="F74" s="119" t="s">
        <v>239</v>
      </c>
      <c r="G74" s="127">
        <v>10320.348</v>
      </c>
    </row>
    <row r="75" spans="1:8" x14ac:dyDescent="0.2">
      <c r="A75" s="124">
        <v>100</v>
      </c>
      <c r="B75" s="124">
        <v>4000</v>
      </c>
      <c r="C75" s="124">
        <v>7900</v>
      </c>
      <c r="D75" s="124">
        <v>380</v>
      </c>
      <c r="E75" s="119" t="s">
        <v>241</v>
      </c>
      <c r="F75" s="119" t="s">
        <v>239</v>
      </c>
      <c r="G75" s="127">
        <v>2637.1280000000002</v>
      </c>
    </row>
    <row r="76" spans="1:8" x14ac:dyDescent="0.2">
      <c r="A76" s="124">
        <v>100</v>
      </c>
      <c r="B76" s="124">
        <v>4000</v>
      </c>
      <c r="C76" s="124">
        <v>7900</v>
      </c>
      <c r="D76" s="124">
        <v>390</v>
      </c>
      <c r="E76" s="119" t="s">
        <v>126</v>
      </c>
      <c r="F76" s="119" t="s">
        <v>239</v>
      </c>
      <c r="G76" s="127">
        <v>3351.9839999999999</v>
      </c>
    </row>
    <row r="77" spans="1:8" x14ac:dyDescent="0.2">
      <c r="A77" s="124">
        <v>100</v>
      </c>
      <c r="B77" s="124">
        <v>4000</v>
      </c>
      <c r="C77" s="124">
        <v>7900</v>
      </c>
      <c r="D77" s="124">
        <v>430</v>
      </c>
      <c r="E77" s="119" t="s">
        <v>122</v>
      </c>
      <c r="F77" s="119" t="s">
        <v>239</v>
      </c>
      <c r="G77" s="127">
        <v>27330.300000000003</v>
      </c>
    </row>
    <row r="78" spans="1:8" x14ac:dyDescent="0.2">
      <c r="A78" s="124">
        <v>100</v>
      </c>
      <c r="B78" s="124">
        <v>4000</v>
      </c>
      <c r="C78" s="124">
        <v>7900</v>
      </c>
      <c r="D78" s="124">
        <v>510</v>
      </c>
      <c r="E78" s="119" t="s">
        <v>127</v>
      </c>
      <c r="F78" s="119" t="s">
        <v>239</v>
      </c>
      <c r="G78" s="127">
        <v>5248.7039999999997</v>
      </c>
    </row>
    <row r="79" spans="1:8" x14ac:dyDescent="0.2">
      <c r="A79" s="124">
        <v>100</v>
      </c>
      <c r="B79" s="124">
        <v>4000</v>
      </c>
      <c r="C79" s="124">
        <v>8100</v>
      </c>
      <c r="D79" s="124">
        <v>350</v>
      </c>
      <c r="E79" s="119" t="s">
        <v>128</v>
      </c>
      <c r="F79" s="119" t="s">
        <v>239</v>
      </c>
      <c r="G79" s="127">
        <v>18137.663999999997</v>
      </c>
      <c r="H79" s="121">
        <f>SUM(G38:G79)</f>
        <v>1398943.1782757028</v>
      </c>
    </row>
    <row r="80" spans="1:8" x14ac:dyDescent="0.2">
      <c r="H80" s="121">
        <f>SUM(G18:G79)</f>
        <v>2463688.1050484292</v>
      </c>
    </row>
  </sheetData>
  <sortState ref="A38:G79">
    <sortCondition ref="C38:C79"/>
    <sortCondition ref="D38:D79"/>
    <sortCondition ref="A38:A79"/>
  </sortState>
  <printOptions horizontalCentered="1"/>
  <pageMargins left="0" right="0" top="0.5" bottom="0.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05"/>
  <sheetViews>
    <sheetView topLeftCell="A37" workbookViewId="0">
      <selection activeCell="H41" sqref="H41"/>
    </sheetView>
  </sheetViews>
  <sheetFormatPr defaultColWidth="9.140625" defaultRowHeight="11.25" x14ac:dyDescent="0.2"/>
  <cols>
    <col min="1" max="1" width="3.5703125" style="98" bestFit="1" customWidth="1"/>
    <col min="2" max="2" width="4.85546875" style="98" bestFit="1" customWidth="1"/>
    <col min="3" max="3" width="4.42578125" style="98" bestFit="1" customWidth="1"/>
    <col min="4" max="4" width="3.5703125" style="98" bestFit="1" customWidth="1"/>
    <col min="5" max="5" width="28.5703125" style="98" bestFit="1" customWidth="1"/>
    <col min="6" max="6" width="9.140625" style="99"/>
    <col min="7" max="16384" width="9.140625" style="98"/>
  </cols>
  <sheetData>
    <row r="6" spans="1:13" s="100" customFormat="1" ht="13.5" x14ac:dyDescent="0.35">
      <c r="F6" s="101" t="s">
        <v>86</v>
      </c>
    </row>
    <row r="7" spans="1:13" x14ac:dyDescent="0.2">
      <c r="A7" s="102"/>
      <c r="B7" s="102"/>
      <c r="C7" s="102"/>
      <c r="D7" s="102"/>
    </row>
    <row r="8" spans="1:13" x14ac:dyDescent="0.2">
      <c r="A8" s="103"/>
      <c r="B8" s="103"/>
      <c r="C8" s="103"/>
      <c r="D8" s="103"/>
      <c r="E8" s="104"/>
    </row>
    <row r="9" spans="1:13" x14ac:dyDescent="0.2">
      <c r="A9" s="102">
        <v>100</v>
      </c>
      <c r="B9" s="102">
        <v>3300</v>
      </c>
      <c r="C9" s="102">
        <v>0</v>
      </c>
      <c r="D9" s="102">
        <v>0</v>
      </c>
      <c r="E9" s="98" t="s">
        <v>139</v>
      </c>
      <c r="F9" s="99">
        <v>835045.79</v>
      </c>
      <c r="G9" s="99"/>
      <c r="H9" s="99"/>
      <c r="I9" s="99"/>
      <c r="J9" s="99"/>
      <c r="K9" s="99"/>
      <c r="L9" s="99"/>
      <c r="M9" s="99"/>
    </row>
    <row r="10" spans="1:13" x14ac:dyDescent="0.2">
      <c r="A10" s="102">
        <v>100</v>
      </c>
      <c r="B10" s="102">
        <v>3334</v>
      </c>
      <c r="C10" s="102">
        <v>0</v>
      </c>
      <c r="D10" s="102">
        <v>0</v>
      </c>
      <c r="E10" s="98" t="s">
        <v>102</v>
      </c>
      <c r="F10" s="99">
        <v>1308.5</v>
      </c>
      <c r="G10" s="99"/>
      <c r="H10" s="99"/>
      <c r="I10" s="99"/>
      <c r="J10" s="99"/>
      <c r="K10" s="99"/>
      <c r="L10" s="99"/>
      <c r="M10" s="99"/>
    </row>
    <row r="11" spans="1:13" x14ac:dyDescent="0.2">
      <c r="A11" s="102">
        <v>100</v>
      </c>
      <c r="B11" s="102">
        <v>3473</v>
      </c>
      <c r="C11" s="102">
        <v>0</v>
      </c>
      <c r="D11" s="102">
        <v>0</v>
      </c>
      <c r="E11" s="98" t="s">
        <v>103</v>
      </c>
      <c r="F11" s="99">
        <v>987.47</v>
      </c>
      <c r="G11" s="99"/>
      <c r="H11" s="99"/>
      <c r="I11" s="99"/>
      <c r="J11" s="99"/>
      <c r="K11" s="99"/>
      <c r="L11" s="99"/>
      <c r="M11" s="99"/>
    </row>
    <row r="12" spans="1:13" x14ac:dyDescent="0.2">
      <c r="A12" s="102">
        <v>100</v>
      </c>
      <c r="B12" s="102">
        <v>3475</v>
      </c>
      <c r="C12" s="102">
        <v>0</v>
      </c>
      <c r="D12" s="102">
        <v>0</v>
      </c>
      <c r="E12" s="98" t="s">
        <v>178</v>
      </c>
      <c r="F12" s="99">
        <v>5054</v>
      </c>
      <c r="G12" s="99"/>
      <c r="H12" s="99"/>
      <c r="I12" s="99"/>
      <c r="J12" s="99"/>
      <c r="K12" s="99"/>
      <c r="L12" s="99"/>
      <c r="M12" s="99"/>
    </row>
    <row r="13" spans="1:13" x14ac:dyDescent="0.2">
      <c r="A13" s="102">
        <v>100</v>
      </c>
      <c r="B13" s="102">
        <v>3480</v>
      </c>
      <c r="C13" s="102">
        <v>0</v>
      </c>
      <c r="D13" s="102">
        <v>0</v>
      </c>
      <c r="E13" s="98" t="s">
        <v>162</v>
      </c>
      <c r="F13" s="99">
        <v>3636.6</v>
      </c>
      <c r="G13" s="99"/>
      <c r="H13" s="99"/>
      <c r="I13" s="99"/>
      <c r="J13" s="99"/>
      <c r="K13" s="99"/>
      <c r="L13" s="99"/>
      <c r="M13" s="99"/>
    </row>
    <row r="14" spans="1:13" x14ac:dyDescent="0.2">
      <c r="A14" s="102">
        <v>100</v>
      </c>
      <c r="B14" s="102">
        <v>3481</v>
      </c>
      <c r="C14" s="102">
        <v>0</v>
      </c>
      <c r="D14" s="102">
        <v>0</v>
      </c>
      <c r="E14" s="98" t="s">
        <v>173</v>
      </c>
      <c r="F14" s="99">
        <v>0</v>
      </c>
      <c r="G14" s="99"/>
      <c r="H14" s="99"/>
      <c r="I14" s="99"/>
      <c r="J14" s="99"/>
      <c r="K14" s="99"/>
      <c r="L14" s="99"/>
      <c r="M14" s="99"/>
    </row>
    <row r="15" spans="1:13" x14ac:dyDescent="0.2">
      <c r="A15" s="102">
        <v>100</v>
      </c>
      <c r="B15" s="102">
        <v>3495</v>
      </c>
      <c r="C15" s="102">
        <v>0</v>
      </c>
      <c r="D15" s="102">
        <v>0</v>
      </c>
      <c r="E15" s="98" t="s">
        <v>163</v>
      </c>
      <c r="F15" s="99">
        <v>6104.8600000000006</v>
      </c>
      <c r="G15" s="99"/>
      <c r="H15" s="99"/>
      <c r="I15" s="99"/>
      <c r="J15" s="99"/>
      <c r="K15" s="99"/>
      <c r="L15" s="99"/>
      <c r="M15" s="99"/>
    </row>
    <row r="16" spans="1:13" x14ac:dyDescent="0.2">
      <c r="A16" s="102">
        <v>100</v>
      </c>
      <c r="B16" s="102">
        <v>3600</v>
      </c>
      <c r="C16" s="102">
        <v>0</v>
      </c>
      <c r="D16" s="102">
        <v>0</v>
      </c>
      <c r="E16" s="98" t="s">
        <v>104</v>
      </c>
      <c r="F16" s="99">
        <v>600</v>
      </c>
      <c r="G16" s="99"/>
      <c r="H16" s="99"/>
      <c r="I16" s="99"/>
      <c r="J16" s="99"/>
      <c r="K16" s="99"/>
      <c r="L16" s="99"/>
      <c r="M16" s="99"/>
    </row>
    <row r="17" spans="1:13" x14ac:dyDescent="0.2">
      <c r="A17" s="102">
        <v>100</v>
      </c>
      <c r="B17" s="106">
        <v>3724</v>
      </c>
      <c r="C17" s="107">
        <v>0</v>
      </c>
      <c r="D17" s="107">
        <v>0</v>
      </c>
      <c r="E17" s="108" t="s">
        <v>140</v>
      </c>
      <c r="F17" s="99">
        <v>25707.13</v>
      </c>
      <c r="G17" s="99"/>
      <c r="H17" s="99"/>
      <c r="I17" s="99"/>
      <c r="J17" s="99"/>
      <c r="K17" s="99"/>
      <c r="L17" s="99"/>
      <c r="M17" s="99"/>
    </row>
    <row r="18" spans="1:13" x14ac:dyDescent="0.2">
      <c r="A18" s="102">
        <v>432</v>
      </c>
      <c r="B18" s="102">
        <v>3240</v>
      </c>
      <c r="C18" s="102">
        <v>0</v>
      </c>
      <c r="D18" s="102">
        <v>0</v>
      </c>
      <c r="E18" s="98" t="s">
        <v>179</v>
      </c>
      <c r="F18" s="99">
        <v>21250</v>
      </c>
      <c r="G18" s="99"/>
      <c r="H18" s="99"/>
      <c r="I18" s="99"/>
      <c r="J18" s="99"/>
      <c r="K18" s="99"/>
      <c r="L18" s="99"/>
      <c r="M18" s="99"/>
    </row>
    <row r="19" spans="1:13" x14ac:dyDescent="0.2">
      <c r="A19" s="102"/>
      <c r="B19" s="102"/>
      <c r="C19" s="102"/>
      <c r="D19" s="102"/>
      <c r="G19" s="99">
        <f>SUM(F9:F18)</f>
        <v>899694.35</v>
      </c>
    </row>
    <row r="20" spans="1:13" x14ac:dyDescent="0.2">
      <c r="A20" s="102"/>
      <c r="B20" s="102"/>
      <c r="C20" s="102"/>
      <c r="D20" s="102"/>
    </row>
    <row r="21" spans="1:13" x14ac:dyDescent="0.2">
      <c r="A21" s="102"/>
      <c r="B21" s="102"/>
      <c r="C21" s="102"/>
      <c r="D21" s="102"/>
    </row>
    <row r="22" spans="1:13" x14ac:dyDescent="0.2">
      <c r="A22" s="102">
        <v>100</v>
      </c>
      <c r="B22" s="102">
        <v>4000</v>
      </c>
      <c r="C22" s="102">
        <v>7300</v>
      </c>
      <c r="D22" s="102">
        <v>110</v>
      </c>
      <c r="E22" s="98" t="s">
        <v>153</v>
      </c>
      <c r="F22" s="99">
        <v>89843.89999999998</v>
      </c>
      <c r="G22" s="116" t="s">
        <v>169</v>
      </c>
      <c r="H22" s="99">
        <f>+SUM(F22:F29)</f>
        <v>370810.44999999995</v>
      </c>
      <c r="I22" s="117"/>
    </row>
    <row r="23" spans="1:13" x14ac:dyDescent="0.2">
      <c r="A23" s="102">
        <v>100</v>
      </c>
      <c r="B23" s="102">
        <v>4000</v>
      </c>
      <c r="C23" s="102">
        <v>5100</v>
      </c>
      <c r="D23" s="102">
        <v>120</v>
      </c>
      <c r="E23" s="98" t="s">
        <v>152</v>
      </c>
      <c r="F23" s="99">
        <v>124652.62</v>
      </c>
      <c r="G23" s="116">
        <v>220</v>
      </c>
      <c r="H23" s="99">
        <f>+SUM(F30:F35)</f>
        <v>27893.03</v>
      </c>
      <c r="I23" s="117">
        <f>+H23/H22</f>
        <v>7.5221801327335844E-2</v>
      </c>
    </row>
    <row r="24" spans="1:13" x14ac:dyDescent="0.2">
      <c r="A24" s="102">
        <v>432</v>
      </c>
      <c r="B24" s="102">
        <v>4000</v>
      </c>
      <c r="C24" s="102">
        <v>5100</v>
      </c>
      <c r="D24" s="102">
        <v>120</v>
      </c>
      <c r="E24" s="98" t="s">
        <v>152</v>
      </c>
      <c r="F24" s="99">
        <v>21250</v>
      </c>
      <c r="G24" s="116">
        <v>230</v>
      </c>
      <c r="H24" s="99">
        <f>+SUM(F36:F39)</f>
        <v>35237.279999999999</v>
      </c>
      <c r="I24" s="117">
        <f>+H24/H22</f>
        <v>9.5027742610813704E-2</v>
      </c>
    </row>
    <row r="25" spans="1:13" x14ac:dyDescent="0.2">
      <c r="A25" s="102">
        <v>100</v>
      </c>
      <c r="B25" s="102">
        <v>4000</v>
      </c>
      <c r="C25" s="102">
        <v>5200</v>
      </c>
      <c r="D25" s="102">
        <v>120</v>
      </c>
      <c r="E25" s="98" t="s">
        <v>78</v>
      </c>
      <c r="F25" s="99">
        <v>30187.5</v>
      </c>
      <c r="G25" s="116">
        <v>240</v>
      </c>
      <c r="H25" s="99">
        <f>+SUM(F40:F45)</f>
        <v>5122.9700000000012</v>
      </c>
      <c r="I25" s="117">
        <f>+H25/H22</f>
        <v>1.3815603093170653E-2</v>
      </c>
    </row>
    <row r="26" spans="1:13" x14ac:dyDescent="0.2">
      <c r="A26" s="102">
        <v>100</v>
      </c>
      <c r="B26" s="102">
        <v>4000</v>
      </c>
      <c r="C26" s="102">
        <v>5300</v>
      </c>
      <c r="D26" s="102">
        <v>120</v>
      </c>
      <c r="E26" s="98" t="s">
        <v>151</v>
      </c>
      <c r="F26" s="99">
        <v>31967.5</v>
      </c>
      <c r="G26" s="116">
        <v>250</v>
      </c>
      <c r="H26" s="99">
        <f>+SUM(F46:F51)</f>
        <v>3987.07</v>
      </c>
      <c r="I26" s="117">
        <f>+H26/H22</f>
        <v>1.075231294047943E-2</v>
      </c>
    </row>
    <row r="27" spans="1:13" x14ac:dyDescent="0.2">
      <c r="A27" s="102">
        <v>100</v>
      </c>
      <c r="B27" s="102">
        <v>4000</v>
      </c>
      <c r="C27" s="102">
        <v>6500</v>
      </c>
      <c r="D27" s="102">
        <v>130</v>
      </c>
      <c r="E27" s="98" t="s">
        <v>150</v>
      </c>
      <c r="F27" s="99">
        <v>24866.199999999997</v>
      </c>
      <c r="G27" s="116" t="s">
        <v>86</v>
      </c>
      <c r="H27" s="99">
        <f>SUM(H22:H26)</f>
        <v>443050.8</v>
      </c>
      <c r="I27" s="117">
        <f>+H27/H22</f>
        <v>1.1948174599717998</v>
      </c>
    </row>
    <row r="28" spans="1:13" x14ac:dyDescent="0.2">
      <c r="A28" s="102">
        <v>100</v>
      </c>
      <c r="B28" s="102">
        <v>4000</v>
      </c>
      <c r="C28" s="102">
        <v>7300</v>
      </c>
      <c r="D28" s="102">
        <v>160</v>
      </c>
      <c r="E28" s="98" t="s">
        <v>149</v>
      </c>
      <c r="F28" s="99">
        <v>45542.729999999996</v>
      </c>
    </row>
    <row r="29" spans="1:13" x14ac:dyDescent="0.2">
      <c r="A29" s="102">
        <v>100</v>
      </c>
      <c r="B29" s="102">
        <v>4000</v>
      </c>
      <c r="C29" s="102">
        <v>7900</v>
      </c>
      <c r="D29" s="102">
        <v>165</v>
      </c>
      <c r="E29" s="98" t="s">
        <v>65</v>
      </c>
      <c r="F29" s="99">
        <v>2500</v>
      </c>
    </row>
    <row r="30" spans="1:13" x14ac:dyDescent="0.2">
      <c r="A30" s="102">
        <v>100</v>
      </c>
      <c r="B30" s="102">
        <v>4000</v>
      </c>
      <c r="C30" s="102">
        <v>5100</v>
      </c>
      <c r="D30" s="102">
        <v>220</v>
      </c>
      <c r="E30" s="98" t="s">
        <v>24</v>
      </c>
      <c r="F30" s="99">
        <v>10895.98</v>
      </c>
    </row>
    <row r="31" spans="1:13" x14ac:dyDescent="0.2">
      <c r="A31" s="102">
        <v>100</v>
      </c>
      <c r="B31" s="102">
        <v>4000</v>
      </c>
      <c r="C31" s="102">
        <v>5200</v>
      </c>
      <c r="D31" s="102">
        <v>220</v>
      </c>
      <c r="E31" s="98" t="s">
        <v>24</v>
      </c>
      <c r="F31" s="99">
        <v>2279.5299999999997</v>
      </c>
    </row>
    <row r="32" spans="1:13" x14ac:dyDescent="0.2">
      <c r="A32" s="102">
        <v>100</v>
      </c>
      <c r="B32" s="102">
        <v>4000</v>
      </c>
      <c r="C32" s="102">
        <v>5300</v>
      </c>
      <c r="D32" s="102">
        <v>220</v>
      </c>
      <c r="E32" s="98" t="s">
        <v>24</v>
      </c>
      <c r="F32" s="99">
        <v>2443.58</v>
      </c>
    </row>
    <row r="33" spans="1:6" x14ac:dyDescent="0.2">
      <c r="A33" s="102">
        <v>100</v>
      </c>
      <c r="B33" s="102">
        <v>4000</v>
      </c>
      <c r="C33" s="102">
        <v>6500</v>
      </c>
      <c r="D33" s="102">
        <v>220</v>
      </c>
      <c r="E33" s="98" t="s">
        <v>24</v>
      </c>
      <c r="F33" s="99">
        <v>1902.24</v>
      </c>
    </row>
    <row r="34" spans="1:6" x14ac:dyDescent="0.2">
      <c r="A34" s="102">
        <v>100</v>
      </c>
      <c r="B34" s="102">
        <v>4000</v>
      </c>
      <c r="C34" s="102">
        <v>7300</v>
      </c>
      <c r="D34" s="102">
        <v>220</v>
      </c>
      <c r="E34" s="98" t="s">
        <v>24</v>
      </c>
      <c r="F34" s="99">
        <v>10180.440000000002</v>
      </c>
    </row>
    <row r="35" spans="1:6" x14ac:dyDescent="0.2">
      <c r="A35" s="102">
        <v>100</v>
      </c>
      <c r="B35" s="102">
        <v>4000</v>
      </c>
      <c r="C35" s="102">
        <v>7900</v>
      </c>
      <c r="D35" s="102">
        <v>220</v>
      </c>
      <c r="E35" s="98" t="s">
        <v>24</v>
      </c>
      <c r="F35" s="99">
        <v>191.26</v>
      </c>
    </row>
    <row r="36" spans="1:6" x14ac:dyDescent="0.2">
      <c r="A36" s="102">
        <v>100</v>
      </c>
      <c r="B36" s="102">
        <v>4000</v>
      </c>
      <c r="C36" s="102">
        <v>5100</v>
      </c>
      <c r="D36" s="102">
        <v>230</v>
      </c>
      <c r="E36" s="98" t="s">
        <v>148</v>
      </c>
      <c r="F36" s="99">
        <v>20211.87</v>
      </c>
    </row>
    <row r="37" spans="1:6" x14ac:dyDescent="0.2">
      <c r="A37" s="102">
        <v>100</v>
      </c>
      <c r="B37" s="102">
        <v>4000</v>
      </c>
      <c r="C37" s="102">
        <v>5200</v>
      </c>
      <c r="D37" s="102">
        <v>230</v>
      </c>
      <c r="E37" s="98" t="s">
        <v>148</v>
      </c>
      <c r="F37" s="99">
        <v>580.35</v>
      </c>
    </row>
    <row r="38" spans="1:6" x14ac:dyDescent="0.2">
      <c r="A38" s="102">
        <v>100</v>
      </c>
      <c r="B38" s="102">
        <v>4000</v>
      </c>
      <c r="C38" s="102">
        <v>5300</v>
      </c>
      <c r="D38" s="102">
        <v>230</v>
      </c>
      <c r="E38" s="98" t="s">
        <v>148</v>
      </c>
      <c r="F38" s="99">
        <v>0</v>
      </c>
    </row>
    <row r="39" spans="1:6" x14ac:dyDescent="0.2">
      <c r="A39" s="107">
        <v>100</v>
      </c>
      <c r="B39" s="107">
        <v>4000</v>
      </c>
      <c r="C39" s="107">
        <v>7300</v>
      </c>
      <c r="D39" s="107">
        <v>230</v>
      </c>
      <c r="E39" s="108" t="s">
        <v>148</v>
      </c>
      <c r="F39" s="105">
        <v>14445.060000000001</v>
      </c>
    </row>
    <row r="40" spans="1:6" x14ac:dyDescent="0.2">
      <c r="A40" s="102">
        <v>100</v>
      </c>
      <c r="B40" s="102">
        <v>4000</v>
      </c>
      <c r="C40" s="102">
        <v>5100</v>
      </c>
      <c r="D40" s="102">
        <v>240</v>
      </c>
      <c r="E40" s="98" t="s">
        <v>147</v>
      </c>
      <c r="F40" s="99">
        <v>1759.7100000000003</v>
      </c>
    </row>
    <row r="41" spans="1:6" x14ac:dyDescent="0.2">
      <c r="A41" s="102">
        <v>100</v>
      </c>
      <c r="B41" s="102">
        <v>4000</v>
      </c>
      <c r="C41" s="102">
        <v>5200</v>
      </c>
      <c r="D41" s="102">
        <v>240</v>
      </c>
      <c r="E41" s="98" t="s">
        <v>147</v>
      </c>
      <c r="F41" s="99">
        <v>244.84999999999997</v>
      </c>
    </row>
    <row r="42" spans="1:6" x14ac:dyDescent="0.2">
      <c r="A42" s="102">
        <v>100</v>
      </c>
      <c r="B42" s="102">
        <v>4000</v>
      </c>
      <c r="C42" s="102">
        <v>5300</v>
      </c>
      <c r="D42" s="102">
        <v>240</v>
      </c>
      <c r="E42" s="98" t="s">
        <v>147</v>
      </c>
      <c r="F42" s="99">
        <v>892.45</v>
      </c>
    </row>
    <row r="43" spans="1:6" x14ac:dyDescent="0.2">
      <c r="A43" s="102">
        <v>100</v>
      </c>
      <c r="B43" s="102">
        <v>4000</v>
      </c>
      <c r="C43" s="102">
        <v>6500</v>
      </c>
      <c r="D43" s="102">
        <v>240</v>
      </c>
      <c r="E43" s="98" t="s">
        <v>147</v>
      </c>
      <c r="F43" s="99">
        <v>1099.5700000000002</v>
      </c>
    </row>
    <row r="44" spans="1:6" x14ac:dyDescent="0.2">
      <c r="A44" s="102">
        <v>100</v>
      </c>
      <c r="B44" s="102">
        <v>4000</v>
      </c>
      <c r="C44" s="102">
        <v>7300</v>
      </c>
      <c r="D44" s="102">
        <v>240</v>
      </c>
      <c r="E44" s="98" t="s">
        <v>147</v>
      </c>
      <c r="F44" s="99">
        <v>996.63000000000011</v>
      </c>
    </row>
    <row r="45" spans="1:6" s="108" customFormat="1" x14ac:dyDescent="0.2">
      <c r="A45" s="102">
        <v>100</v>
      </c>
      <c r="B45" s="102">
        <v>4000</v>
      </c>
      <c r="C45" s="102">
        <v>7900</v>
      </c>
      <c r="D45" s="102">
        <v>240</v>
      </c>
      <c r="E45" s="98" t="s">
        <v>147</v>
      </c>
      <c r="F45" s="99">
        <v>129.76</v>
      </c>
    </row>
    <row r="46" spans="1:6" x14ac:dyDescent="0.2">
      <c r="A46" s="102">
        <v>100</v>
      </c>
      <c r="B46" s="102">
        <v>4000</v>
      </c>
      <c r="C46" s="102">
        <v>5100</v>
      </c>
      <c r="D46" s="102">
        <v>250</v>
      </c>
      <c r="E46" s="98" t="s">
        <v>146</v>
      </c>
      <c r="F46" s="99">
        <v>1693.8800000000003</v>
      </c>
    </row>
    <row r="47" spans="1:6" x14ac:dyDescent="0.2">
      <c r="A47" s="102">
        <v>100</v>
      </c>
      <c r="B47" s="102">
        <v>4000</v>
      </c>
      <c r="C47" s="102">
        <v>5200</v>
      </c>
      <c r="D47" s="102">
        <v>250</v>
      </c>
      <c r="E47" s="98" t="s">
        <v>146</v>
      </c>
      <c r="F47" s="99">
        <v>462</v>
      </c>
    </row>
    <row r="48" spans="1:6" x14ac:dyDescent="0.2">
      <c r="A48" s="102">
        <v>100</v>
      </c>
      <c r="B48" s="102">
        <v>4000</v>
      </c>
      <c r="C48" s="102">
        <v>5300</v>
      </c>
      <c r="D48" s="102">
        <v>250</v>
      </c>
      <c r="E48" s="98" t="s">
        <v>146</v>
      </c>
      <c r="F48" s="99">
        <v>812.79000000000008</v>
      </c>
    </row>
    <row r="49" spans="1:7" x14ac:dyDescent="0.2">
      <c r="A49" s="102">
        <v>100</v>
      </c>
      <c r="B49" s="102">
        <v>4000</v>
      </c>
      <c r="C49" s="102">
        <v>6500</v>
      </c>
      <c r="D49" s="102">
        <v>250</v>
      </c>
      <c r="E49" s="98" t="s">
        <v>146</v>
      </c>
      <c r="F49" s="99">
        <v>242.90000000000003</v>
      </c>
    </row>
    <row r="50" spans="1:7" x14ac:dyDescent="0.2">
      <c r="A50" s="102">
        <v>100</v>
      </c>
      <c r="B50" s="102">
        <v>4000</v>
      </c>
      <c r="C50" s="102">
        <v>7300</v>
      </c>
      <c r="D50" s="102">
        <v>250</v>
      </c>
      <c r="E50" s="98" t="s">
        <v>146</v>
      </c>
      <c r="F50" s="99">
        <v>693.00000000000011</v>
      </c>
    </row>
    <row r="51" spans="1:7" x14ac:dyDescent="0.2">
      <c r="A51" s="102">
        <v>100</v>
      </c>
      <c r="B51" s="102">
        <v>4000</v>
      </c>
      <c r="C51" s="102">
        <v>7900</v>
      </c>
      <c r="D51" s="102">
        <v>250</v>
      </c>
      <c r="E51" s="98" t="s">
        <v>146</v>
      </c>
      <c r="F51" s="99">
        <v>82.5</v>
      </c>
      <c r="G51" s="99">
        <f>SUM(F22:F51)</f>
        <v>443050.8</v>
      </c>
    </row>
    <row r="52" spans="1:7" x14ac:dyDescent="0.2">
      <c r="A52" s="102"/>
      <c r="B52" s="102"/>
      <c r="C52" s="102"/>
      <c r="D52" s="102"/>
    </row>
    <row r="53" spans="1:7" x14ac:dyDescent="0.2">
      <c r="A53" s="102"/>
      <c r="B53" s="102"/>
      <c r="C53" s="102"/>
      <c r="D53" s="102"/>
    </row>
    <row r="54" spans="1:7" x14ac:dyDescent="0.2">
      <c r="A54" s="102">
        <v>100</v>
      </c>
      <c r="B54" s="102">
        <v>4000</v>
      </c>
      <c r="C54" s="102">
        <v>5100</v>
      </c>
      <c r="D54" s="102">
        <v>310</v>
      </c>
      <c r="E54" s="98" t="s">
        <v>59</v>
      </c>
      <c r="F54" s="99">
        <v>0</v>
      </c>
    </row>
    <row r="55" spans="1:7" x14ac:dyDescent="0.2">
      <c r="A55" s="102">
        <v>100</v>
      </c>
      <c r="B55" s="102">
        <v>4000</v>
      </c>
      <c r="C55" s="102">
        <v>5100</v>
      </c>
      <c r="D55" s="102">
        <v>330</v>
      </c>
      <c r="E55" s="98" t="s">
        <v>184</v>
      </c>
      <c r="F55" s="99">
        <v>89.88</v>
      </c>
    </row>
    <row r="56" spans="1:7" x14ac:dyDescent="0.2">
      <c r="A56" s="102">
        <v>100</v>
      </c>
      <c r="B56" s="102">
        <v>4000</v>
      </c>
      <c r="C56" s="102">
        <v>5100</v>
      </c>
      <c r="D56" s="102">
        <v>360</v>
      </c>
      <c r="E56" s="98" t="s">
        <v>108</v>
      </c>
      <c r="F56" s="99">
        <v>6437</v>
      </c>
    </row>
    <row r="57" spans="1:7" x14ac:dyDescent="0.2">
      <c r="A57" s="107">
        <v>100</v>
      </c>
      <c r="B57" s="107">
        <v>4000</v>
      </c>
      <c r="C57" s="107">
        <v>5100</v>
      </c>
      <c r="D57" s="107">
        <v>361</v>
      </c>
      <c r="E57" s="108" t="s">
        <v>185</v>
      </c>
      <c r="F57" s="105">
        <v>0</v>
      </c>
    </row>
    <row r="58" spans="1:7" x14ac:dyDescent="0.2">
      <c r="A58" s="102">
        <v>100</v>
      </c>
      <c r="B58" s="102">
        <v>4000</v>
      </c>
      <c r="C58" s="102">
        <v>5100</v>
      </c>
      <c r="D58" s="102">
        <v>390</v>
      </c>
      <c r="E58" s="98" t="s">
        <v>105</v>
      </c>
      <c r="F58" s="99">
        <v>2804</v>
      </c>
    </row>
    <row r="59" spans="1:7" x14ac:dyDescent="0.2">
      <c r="A59" s="102">
        <v>100</v>
      </c>
      <c r="B59" s="102">
        <v>4000</v>
      </c>
      <c r="C59" s="102">
        <v>5100</v>
      </c>
      <c r="D59" s="102">
        <v>510</v>
      </c>
      <c r="E59" s="98" t="s">
        <v>106</v>
      </c>
      <c r="F59" s="99">
        <v>15149.567045454545</v>
      </c>
    </row>
    <row r="60" spans="1:7" x14ac:dyDescent="0.2">
      <c r="A60" s="102">
        <v>100</v>
      </c>
      <c r="B60" s="102">
        <v>4000</v>
      </c>
      <c r="C60" s="102">
        <v>5100</v>
      </c>
      <c r="D60" s="102">
        <v>511</v>
      </c>
      <c r="E60" s="98" t="s">
        <v>186</v>
      </c>
      <c r="F60" s="99">
        <v>5893.4160000000011</v>
      </c>
    </row>
    <row r="61" spans="1:7" x14ac:dyDescent="0.2">
      <c r="A61" s="102">
        <v>100</v>
      </c>
      <c r="B61" s="102">
        <v>4000</v>
      </c>
      <c r="C61" s="102">
        <v>5100</v>
      </c>
      <c r="D61" s="102">
        <v>520</v>
      </c>
      <c r="E61" s="98" t="s">
        <v>107</v>
      </c>
      <c r="F61" s="99">
        <v>0</v>
      </c>
    </row>
    <row r="62" spans="1:7" x14ac:dyDescent="0.2">
      <c r="A62" s="102">
        <v>100</v>
      </c>
      <c r="B62" s="102">
        <v>4000</v>
      </c>
      <c r="C62" s="102">
        <v>5100</v>
      </c>
      <c r="D62" s="102">
        <v>640</v>
      </c>
      <c r="E62" s="98" t="s">
        <v>170</v>
      </c>
      <c r="F62" s="99">
        <v>0</v>
      </c>
    </row>
    <row r="63" spans="1:7" x14ac:dyDescent="0.2">
      <c r="A63" s="102">
        <v>100</v>
      </c>
      <c r="B63" s="102">
        <v>4000</v>
      </c>
      <c r="C63" s="102">
        <v>5100</v>
      </c>
      <c r="D63" s="102">
        <v>642</v>
      </c>
      <c r="E63" s="98" t="s">
        <v>181</v>
      </c>
      <c r="F63" s="99">
        <v>28990.95</v>
      </c>
    </row>
    <row r="64" spans="1:7" x14ac:dyDescent="0.2">
      <c r="A64" s="102">
        <v>100</v>
      </c>
      <c r="B64" s="102">
        <v>4000</v>
      </c>
      <c r="C64" s="102">
        <v>5100</v>
      </c>
      <c r="D64" s="102">
        <v>643</v>
      </c>
      <c r="E64" s="98" t="s">
        <v>182</v>
      </c>
      <c r="F64" s="99">
        <v>0</v>
      </c>
    </row>
    <row r="65" spans="1:6" x14ac:dyDescent="0.2">
      <c r="A65" s="102">
        <v>100</v>
      </c>
      <c r="B65" s="102">
        <v>4000</v>
      </c>
      <c r="C65" s="102">
        <v>5100</v>
      </c>
      <c r="D65" s="102">
        <v>644</v>
      </c>
      <c r="E65" s="98" t="s">
        <v>183</v>
      </c>
      <c r="F65" s="99">
        <v>0</v>
      </c>
    </row>
    <row r="66" spans="1:6" x14ac:dyDescent="0.2">
      <c r="A66" s="102">
        <v>100</v>
      </c>
      <c r="B66" s="102">
        <v>4000</v>
      </c>
      <c r="C66" s="102">
        <v>5100</v>
      </c>
      <c r="D66" s="102">
        <v>750</v>
      </c>
      <c r="E66" s="98" t="s">
        <v>109</v>
      </c>
      <c r="F66" s="99">
        <v>0</v>
      </c>
    </row>
    <row r="67" spans="1:6" x14ac:dyDescent="0.2">
      <c r="A67" s="102">
        <v>100</v>
      </c>
      <c r="B67" s="102">
        <v>4000</v>
      </c>
      <c r="C67" s="102">
        <v>5200</v>
      </c>
      <c r="D67" s="102">
        <v>310</v>
      </c>
      <c r="E67" s="98" t="s">
        <v>59</v>
      </c>
      <c r="F67" s="99">
        <v>0</v>
      </c>
    </row>
    <row r="68" spans="1:6" x14ac:dyDescent="0.2">
      <c r="A68" s="102">
        <v>100</v>
      </c>
      <c r="B68" s="102">
        <v>4000</v>
      </c>
      <c r="C68" s="102">
        <v>5300</v>
      </c>
      <c r="D68" s="102">
        <v>510</v>
      </c>
      <c r="E68" s="98" t="s">
        <v>106</v>
      </c>
      <c r="F68" s="99">
        <v>2836.2360000000003</v>
      </c>
    </row>
    <row r="69" spans="1:6" x14ac:dyDescent="0.2">
      <c r="A69" s="102">
        <v>100</v>
      </c>
      <c r="B69" s="102">
        <v>4000</v>
      </c>
      <c r="C69" s="102">
        <v>5300</v>
      </c>
      <c r="D69" s="102">
        <v>640</v>
      </c>
      <c r="E69" s="98" t="s">
        <v>170</v>
      </c>
      <c r="F69" s="99">
        <v>0</v>
      </c>
    </row>
    <row r="70" spans="1:6" x14ac:dyDescent="0.2">
      <c r="A70" s="102">
        <v>100</v>
      </c>
      <c r="B70" s="102">
        <v>4000</v>
      </c>
      <c r="C70" s="102">
        <v>6400</v>
      </c>
      <c r="D70" s="102">
        <v>310</v>
      </c>
      <c r="E70" s="98" t="s">
        <v>110</v>
      </c>
      <c r="F70" s="99">
        <v>600</v>
      </c>
    </row>
    <row r="71" spans="1:6" x14ac:dyDescent="0.2">
      <c r="A71" s="102">
        <v>100</v>
      </c>
      <c r="B71" s="102">
        <v>4000</v>
      </c>
      <c r="C71" s="102">
        <v>6500</v>
      </c>
      <c r="D71" s="102">
        <v>310</v>
      </c>
      <c r="E71" s="98" t="s">
        <v>111</v>
      </c>
      <c r="F71" s="99">
        <v>1414.7222222222222</v>
      </c>
    </row>
    <row r="72" spans="1:6" x14ac:dyDescent="0.2">
      <c r="A72" s="102">
        <v>100</v>
      </c>
      <c r="B72" s="102">
        <v>4000</v>
      </c>
      <c r="C72" s="102">
        <v>6500</v>
      </c>
      <c r="D72" s="102">
        <v>360</v>
      </c>
      <c r="E72" s="98" t="s">
        <v>108</v>
      </c>
      <c r="F72" s="99">
        <v>0</v>
      </c>
    </row>
    <row r="73" spans="1:6" x14ac:dyDescent="0.2">
      <c r="A73" s="102">
        <v>100</v>
      </c>
      <c r="B73" s="102">
        <v>4000</v>
      </c>
      <c r="C73" s="102">
        <v>6500</v>
      </c>
      <c r="D73" s="102">
        <v>510</v>
      </c>
      <c r="E73" s="98" t="s">
        <v>144</v>
      </c>
      <c r="F73" s="99">
        <v>0</v>
      </c>
    </row>
    <row r="74" spans="1:6" x14ac:dyDescent="0.2">
      <c r="A74" s="102">
        <v>100</v>
      </c>
      <c r="B74" s="102">
        <v>4000</v>
      </c>
      <c r="C74" s="102">
        <v>7100</v>
      </c>
      <c r="D74" s="102">
        <v>310</v>
      </c>
      <c r="E74" s="98" t="s">
        <v>112</v>
      </c>
      <c r="F74" s="99">
        <v>8400</v>
      </c>
    </row>
    <row r="75" spans="1:6" x14ac:dyDescent="0.2">
      <c r="A75" s="102">
        <v>100</v>
      </c>
      <c r="B75" s="102">
        <v>4000</v>
      </c>
      <c r="C75" s="102">
        <v>7100</v>
      </c>
      <c r="D75" s="102">
        <v>315</v>
      </c>
      <c r="E75" s="98" t="s">
        <v>129</v>
      </c>
      <c r="F75" s="99">
        <v>39664.675025000004</v>
      </c>
    </row>
    <row r="76" spans="1:6" x14ac:dyDescent="0.2">
      <c r="A76" s="102">
        <v>100</v>
      </c>
      <c r="B76" s="102">
        <v>4000</v>
      </c>
      <c r="C76" s="102">
        <v>7100</v>
      </c>
      <c r="D76" s="102">
        <v>330</v>
      </c>
      <c r="E76" s="98" t="s">
        <v>115</v>
      </c>
      <c r="F76" s="99">
        <v>0</v>
      </c>
    </row>
    <row r="77" spans="1:6" x14ac:dyDescent="0.2">
      <c r="A77" s="102">
        <v>100</v>
      </c>
      <c r="B77" s="102">
        <v>4000</v>
      </c>
      <c r="C77" s="102">
        <v>7100</v>
      </c>
      <c r="D77" s="102">
        <v>730</v>
      </c>
      <c r="E77" s="98" t="s">
        <v>113</v>
      </c>
      <c r="F77" s="99">
        <v>3193.7</v>
      </c>
    </row>
    <row r="78" spans="1:6" x14ac:dyDescent="0.2">
      <c r="A78" s="102">
        <v>100</v>
      </c>
      <c r="B78" s="102">
        <v>4000</v>
      </c>
      <c r="C78" s="102">
        <v>7100</v>
      </c>
      <c r="D78" s="102">
        <v>790</v>
      </c>
      <c r="E78" s="98" t="s">
        <v>61</v>
      </c>
      <c r="F78" s="99">
        <v>41752.289500000006</v>
      </c>
    </row>
    <row r="79" spans="1:6" x14ac:dyDescent="0.2">
      <c r="A79" s="102">
        <v>100</v>
      </c>
      <c r="B79" s="102">
        <v>4000</v>
      </c>
      <c r="C79" s="102">
        <v>7100</v>
      </c>
      <c r="D79" s="102">
        <v>795</v>
      </c>
      <c r="E79" s="98" t="s">
        <v>114</v>
      </c>
      <c r="F79" s="99">
        <v>51.599999999999994</v>
      </c>
    </row>
    <row r="80" spans="1:6" x14ac:dyDescent="0.2">
      <c r="A80" s="102">
        <v>100</v>
      </c>
      <c r="B80" s="102">
        <v>4000</v>
      </c>
      <c r="C80" s="102">
        <v>7300</v>
      </c>
      <c r="D80" s="102">
        <v>310</v>
      </c>
      <c r="E80" s="98" t="s">
        <v>59</v>
      </c>
      <c r="F80" s="99">
        <v>3600</v>
      </c>
    </row>
    <row r="81" spans="1:6" x14ac:dyDescent="0.2">
      <c r="A81" s="102">
        <v>100</v>
      </c>
      <c r="B81" s="102">
        <v>4000</v>
      </c>
      <c r="C81" s="102">
        <v>7300</v>
      </c>
      <c r="D81" s="102">
        <v>320</v>
      </c>
      <c r="E81" s="98" t="s">
        <v>141</v>
      </c>
      <c r="F81" s="99">
        <v>8000.0000000000009</v>
      </c>
    </row>
    <row r="82" spans="1:6" x14ac:dyDescent="0.2">
      <c r="A82" s="102">
        <v>100</v>
      </c>
      <c r="B82" s="102">
        <v>4000</v>
      </c>
      <c r="C82" s="102">
        <v>7300</v>
      </c>
      <c r="D82" s="102">
        <v>330</v>
      </c>
      <c r="E82" s="98" t="s">
        <v>115</v>
      </c>
      <c r="F82" s="99">
        <v>0</v>
      </c>
    </row>
    <row r="83" spans="1:6" x14ac:dyDescent="0.2">
      <c r="A83" s="102">
        <v>100</v>
      </c>
      <c r="B83" s="102">
        <v>4000</v>
      </c>
      <c r="C83" s="102">
        <v>7300</v>
      </c>
      <c r="D83" s="102">
        <v>370</v>
      </c>
      <c r="E83" s="98" t="s">
        <v>116</v>
      </c>
      <c r="F83" s="99">
        <v>2768.94</v>
      </c>
    </row>
    <row r="84" spans="1:6" s="108" customFormat="1" x14ac:dyDescent="0.2">
      <c r="A84" s="102">
        <v>100</v>
      </c>
      <c r="B84" s="102">
        <v>4000</v>
      </c>
      <c r="C84" s="102">
        <v>7300</v>
      </c>
      <c r="D84" s="102">
        <v>390</v>
      </c>
      <c r="E84" s="98" t="s">
        <v>117</v>
      </c>
      <c r="F84" s="99">
        <v>4206</v>
      </c>
    </row>
    <row r="85" spans="1:6" x14ac:dyDescent="0.2">
      <c r="A85" s="102">
        <v>100</v>
      </c>
      <c r="B85" s="102">
        <v>4000</v>
      </c>
      <c r="C85" s="102">
        <v>7300</v>
      </c>
      <c r="D85" s="102">
        <v>510</v>
      </c>
      <c r="E85" s="98" t="s">
        <v>118</v>
      </c>
      <c r="F85" s="99">
        <v>6687.869999999999</v>
      </c>
    </row>
    <row r="86" spans="1:6" x14ac:dyDescent="0.2">
      <c r="A86" s="102">
        <v>100</v>
      </c>
      <c r="B86" s="102">
        <v>4000</v>
      </c>
      <c r="C86" s="102">
        <v>7300</v>
      </c>
      <c r="D86" s="102">
        <v>643</v>
      </c>
      <c r="E86" s="98" t="s">
        <v>182</v>
      </c>
      <c r="F86" s="99">
        <v>0</v>
      </c>
    </row>
    <row r="87" spans="1:6" x14ac:dyDescent="0.2">
      <c r="A87" s="102">
        <v>100</v>
      </c>
      <c r="B87" s="102">
        <v>4000</v>
      </c>
      <c r="C87" s="102">
        <v>7400</v>
      </c>
      <c r="D87" s="102">
        <v>360</v>
      </c>
      <c r="E87" s="98" t="s">
        <v>119</v>
      </c>
      <c r="F87" s="99">
        <v>52467.66</v>
      </c>
    </row>
    <row r="88" spans="1:6" x14ac:dyDescent="0.2">
      <c r="A88" s="102">
        <v>100</v>
      </c>
      <c r="B88" s="102">
        <v>4000</v>
      </c>
      <c r="C88" s="102">
        <v>7400</v>
      </c>
      <c r="D88" s="102">
        <v>630</v>
      </c>
      <c r="E88" s="98" t="s">
        <v>142</v>
      </c>
      <c r="F88" s="99">
        <v>0</v>
      </c>
    </row>
    <row r="89" spans="1:6" x14ac:dyDescent="0.2">
      <c r="A89" s="102">
        <v>100</v>
      </c>
      <c r="B89" s="102">
        <v>4000</v>
      </c>
      <c r="C89" s="102">
        <v>7500</v>
      </c>
      <c r="D89" s="102">
        <v>310</v>
      </c>
      <c r="E89" s="98" t="s">
        <v>120</v>
      </c>
      <c r="F89" s="99">
        <v>23798.805015000005</v>
      </c>
    </row>
    <row r="90" spans="1:6" x14ac:dyDescent="0.2">
      <c r="A90" s="102">
        <v>100</v>
      </c>
      <c r="B90" s="102">
        <v>4000</v>
      </c>
      <c r="C90" s="102">
        <v>7500</v>
      </c>
      <c r="D90" s="102">
        <v>311</v>
      </c>
      <c r="E90" s="98" t="s">
        <v>121</v>
      </c>
      <c r="F90" s="99">
        <v>5356.7519999999995</v>
      </c>
    </row>
    <row r="91" spans="1:6" x14ac:dyDescent="0.2">
      <c r="A91" s="102">
        <v>100</v>
      </c>
      <c r="B91" s="102">
        <v>4000</v>
      </c>
      <c r="C91" s="102">
        <v>7800</v>
      </c>
      <c r="D91" s="102">
        <v>350</v>
      </c>
      <c r="E91" s="98" t="s">
        <v>123</v>
      </c>
      <c r="F91" s="99">
        <v>87837.917647058828</v>
      </c>
    </row>
    <row r="92" spans="1:6" x14ac:dyDescent="0.2">
      <c r="A92" s="102">
        <v>100</v>
      </c>
      <c r="B92" s="102">
        <v>4000</v>
      </c>
      <c r="C92" s="102">
        <v>7800</v>
      </c>
      <c r="D92" s="102">
        <v>460</v>
      </c>
      <c r="E92" s="98" t="s">
        <v>180</v>
      </c>
      <c r="F92" s="99">
        <v>64.150000000000006</v>
      </c>
    </row>
    <row r="93" spans="1:6" x14ac:dyDescent="0.2">
      <c r="A93" s="102">
        <v>100</v>
      </c>
      <c r="B93" s="102">
        <v>4000</v>
      </c>
      <c r="C93" s="102">
        <v>7900</v>
      </c>
      <c r="D93" s="102">
        <v>320</v>
      </c>
      <c r="E93" s="98" t="s">
        <v>124</v>
      </c>
      <c r="F93" s="99">
        <v>1310</v>
      </c>
    </row>
    <row r="94" spans="1:6" x14ac:dyDescent="0.2">
      <c r="A94" s="102">
        <v>100</v>
      </c>
      <c r="B94" s="102">
        <v>4000</v>
      </c>
      <c r="C94" s="102">
        <v>7900</v>
      </c>
      <c r="D94" s="102">
        <v>351</v>
      </c>
      <c r="E94" s="98" t="s">
        <v>143</v>
      </c>
      <c r="F94" s="99">
        <v>19387.5</v>
      </c>
    </row>
    <row r="95" spans="1:6" x14ac:dyDescent="0.2">
      <c r="A95" s="102">
        <v>100</v>
      </c>
      <c r="B95" s="102">
        <v>4000</v>
      </c>
      <c r="C95" s="102">
        <v>7900</v>
      </c>
      <c r="D95" s="102">
        <v>370</v>
      </c>
      <c r="E95" s="98" t="s">
        <v>125</v>
      </c>
      <c r="F95" s="99">
        <v>15589.716</v>
      </c>
    </row>
    <row r="96" spans="1:6" x14ac:dyDescent="0.2">
      <c r="A96" s="102">
        <v>100</v>
      </c>
      <c r="B96" s="102">
        <v>4000</v>
      </c>
      <c r="C96" s="102">
        <v>7900</v>
      </c>
      <c r="D96" s="102">
        <v>390</v>
      </c>
      <c r="E96" s="98" t="s">
        <v>126</v>
      </c>
      <c r="F96" s="99">
        <v>960</v>
      </c>
    </row>
    <row r="97" spans="1:7" x14ac:dyDescent="0.2">
      <c r="A97" s="102">
        <v>100</v>
      </c>
      <c r="B97" s="102">
        <v>4000</v>
      </c>
      <c r="C97" s="102">
        <v>7900</v>
      </c>
      <c r="D97" s="102">
        <v>430</v>
      </c>
      <c r="E97" s="98" t="s">
        <v>122</v>
      </c>
      <c r="F97" s="99">
        <v>13148.849999999999</v>
      </c>
    </row>
    <row r="98" spans="1:7" x14ac:dyDescent="0.2">
      <c r="A98" s="102">
        <v>100</v>
      </c>
      <c r="B98" s="102">
        <v>4000</v>
      </c>
      <c r="C98" s="102">
        <v>7900</v>
      </c>
      <c r="D98" s="102">
        <v>510</v>
      </c>
      <c r="E98" s="98" t="s">
        <v>127</v>
      </c>
      <c r="F98" s="99">
        <v>611.04</v>
      </c>
    </row>
    <row r="99" spans="1:7" x14ac:dyDescent="0.2">
      <c r="A99" s="102">
        <v>100</v>
      </c>
      <c r="B99" s="102">
        <v>4000</v>
      </c>
      <c r="C99" s="102">
        <v>7900</v>
      </c>
      <c r="D99" s="102">
        <v>640</v>
      </c>
      <c r="E99" s="98" t="s">
        <v>170</v>
      </c>
      <c r="F99" s="99">
        <v>0</v>
      </c>
    </row>
    <row r="100" spans="1:7" x14ac:dyDescent="0.2">
      <c r="A100" s="102">
        <v>100</v>
      </c>
      <c r="B100" s="102">
        <v>4000</v>
      </c>
      <c r="C100" s="102">
        <v>8100</v>
      </c>
      <c r="D100" s="102">
        <v>350</v>
      </c>
      <c r="E100" s="98" t="s">
        <v>128</v>
      </c>
      <c r="F100" s="99">
        <v>1010.9639999999999</v>
      </c>
    </row>
    <row r="101" spans="1:7" x14ac:dyDescent="0.2">
      <c r="A101" s="102">
        <v>100</v>
      </c>
      <c r="B101" s="102">
        <v>4000</v>
      </c>
      <c r="C101" s="102">
        <v>9200</v>
      </c>
      <c r="D101" s="102">
        <v>710</v>
      </c>
      <c r="E101" s="98" t="s">
        <v>145</v>
      </c>
      <c r="F101" s="99">
        <v>40830.959999999999</v>
      </c>
    </row>
    <row r="102" spans="1:7" x14ac:dyDescent="0.2">
      <c r="A102" s="102">
        <v>100</v>
      </c>
      <c r="B102" s="102">
        <v>4000</v>
      </c>
      <c r="C102" s="102">
        <v>9200</v>
      </c>
      <c r="D102" s="109">
        <v>720</v>
      </c>
      <c r="E102" s="98" t="s">
        <v>187</v>
      </c>
      <c r="F102" s="99">
        <v>371.52</v>
      </c>
    </row>
    <row r="103" spans="1:7" x14ac:dyDescent="0.2">
      <c r="A103" s="102"/>
      <c r="B103" s="102"/>
      <c r="C103" s="102"/>
      <c r="D103" s="102"/>
      <c r="G103" s="99">
        <f>SUM(F22:F102)</f>
        <v>888337.48045473557</v>
      </c>
    </row>
    <row r="105" spans="1:7" x14ac:dyDescent="0.2">
      <c r="G105" s="99">
        <f>+G19-G103</f>
        <v>11356.869545264402</v>
      </c>
    </row>
  </sheetData>
  <sortState ref="A54:F102">
    <sortCondition ref="C54:C102"/>
    <sortCondition ref="D54:D102"/>
    <sortCondition ref="A54:A102"/>
  </sortState>
  <printOptions horizontalCentered="1"/>
  <pageMargins left="0" right="0" top="0.5" bottom="0.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29" sqref="C29"/>
    </sheetView>
  </sheetViews>
  <sheetFormatPr defaultColWidth="8.85546875" defaultRowHeight="12.75" x14ac:dyDescent="0.2"/>
  <cols>
    <col min="1" max="1" width="36" style="114" bestFit="1" customWidth="1"/>
    <col min="2" max="2" width="20.140625" style="114" bestFit="1" customWidth="1"/>
    <col min="3" max="3" width="21.85546875" style="114" bestFit="1" customWidth="1"/>
    <col min="4" max="7" width="12.7109375" style="114" customWidth="1"/>
    <col min="8" max="8" width="9.42578125" style="114" bestFit="1" customWidth="1"/>
    <col min="9" max="9" width="15.140625" style="114" bestFit="1" customWidth="1"/>
    <col min="10" max="10" width="18.42578125" style="114" bestFit="1" customWidth="1"/>
    <col min="11" max="16384" width="8.85546875" style="114"/>
  </cols>
  <sheetData>
    <row r="1" spans="1:11" x14ac:dyDescent="0.2">
      <c r="D1" s="139">
        <v>42521</v>
      </c>
      <c r="E1" s="139">
        <v>42506</v>
      </c>
      <c r="F1" s="139">
        <v>42489</v>
      </c>
      <c r="G1" s="139">
        <v>42475</v>
      </c>
      <c r="I1" s="114" t="s">
        <v>297</v>
      </c>
      <c r="J1" s="114" t="s">
        <v>296</v>
      </c>
    </row>
    <row r="2" spans="1:11" ht="15.75" x14ac:dyDescent="0.25">
      <c r="A2" s="134" t="s">
        <v>283</v>
      </c>
      <c r="B2" s="133" t="s">
        <v>188</v>
      </c>
      <c r="C2" s="134" t="s">
        <v>261</v>
      </c>
      <c r="D2" s="141">
        <v>1833.34</v>
      </c>
      <c r="E2" s="141">
        <v>1833.34</v>
      </c>
      <c r="F2" s="141">
        <v>1833.34</v>
      </c>
      <c r="G2" s="141">
        <v>1833.34</v>
      </c>
      <c r="H2" s="115"/>
      <c r="I2" s="141">
        <v>1833.34</v>
      </c>
      <c r="J2" s="114" t="s">
        <v>298</v>
      </c>
    </row>
    <row r="3" spans="1:11" ht="15.75" x14ac:dyDescent="0.25">
      <c r="A3" s="140" t="s">
        <v>284</v>
      </c>
      <c r="B3" s="133" t="s">
        <v>188</v>
      </c>
      <c r="C3" s="134" t="s">
        <v>262</v>
      </c>
      <c r="D3" s="141">
        <v>1877.92</v>
      </c>
      <c r="E3" s="141">
        <v>1877.92</v>
      </c>
      <c r="F3" s="141">
        <v>1877.92</v>
      </c>
      <c r="G3" s="141">
        <v>1877.92</v>
      </c>
      <c r="H3" s="115"/>
      <c r="I3" s="141">
        <v>1877.92</v>
      </c>
      <c r="J3" s="114" t="s">
        <v>298</v>
      </c>
      <c r="K3" s="115"/>
    </row>
    <row r="4" spans="1:11" ht="15.75" x14ac:dyDescent="0.25">
      <c r="A4" s="140" t="s">
        <v>285</v>
      </c>
      <c r="B4" s="135">
        <v>10040005200150</v>
      </c>
      <c r="C4" s="134" t="s">
        <v>263</v>
      </c>
      <c r="D4" s="141">
        <v>1213.67</v>
      </c>
      <c r="E4" s="141">
        <v>1213.67</v>
      </c>
      <c r="F4" s="141">
        <v>1213.67</v>
      </c>
      <c r="G4" s="141">
        <v>1213.67</v>
      </c>
      <c r="H4" s="115"/>
      <c r="I4" s="141">
        <v>1213.67</v>
      </c>
      <c r="J4" s="114" t="s">
        <v>298</v>
      </c>
    </row>
    <row r="5" spans="1:11" ht="15.75" x14ac:dyDescent="0.25">
      <c r="A5" s="140" t="s">
        <v>286</v>
      </c>
      <c r="B5" s="133" t="s">
        <v>188</v>
      </c>
      <c r="C5" s="134" t="s">
        <v>264</v>
      </c>
      <c r="D5" s="141">
        <v>2004</v>
      </c>
      <c r="E5" s="141">
        <v>2004</v>
      </c>
      <c r="F5" s="141">
        <v>2004</v>
      </c>
      <c r="G5" s="141">
        <v>2004</v>
      </c>
      <c r="H5" s="115"/>
      <c r="I5" s="141">
        <v>2004</v>
      </c>
      <c r="J5" s="114" t="s">
        <v>298</v>
      </c>
    </row>
    <row r="6" spans="1:11" ht="15.75" x14ac:dyDescent="0.25">
      <c r="A6" s="140" t="s">
        <v>190</v>
      </c>
      <c r="B6" s="133" t="s">
        <v>188</v>
      </c>
      <c r="C6" s="134" t="s">
        <v>265</v>
      </c>
      <c r="D6" s="141">
        <v>1680.42</v>
      </c>
      <c r="E6" s="141">
        <v>1680.42</v>
      </c>
      <c r="F6" s="141">
        <v>1680.42</v>
      </c>
      <c r="G6" s="141">
        <v>1700.42</v>
      </c>
      <c r="H6" s="115"/>
      <c r="I6" s="173">
        <f>AVERAGE(D6:G6)</f>
        <v>1685.42</v>
      </c>
      <c r="J6" s="114" t="s">
        <v>299</v>
      </c>
    </row>
    <row r="7" spans="1:11" ht="15.75" x14ac:dyDescent="0.25">
      <c r="A7" s="140" t="s">
        <v>287</v>
      </c>
      <c r="B7" s="136" t="s">
        <v>189</v>
      </c>
      <c r="C7" s="134" t="s">
        <v>266</v>
      </c>
      <c r="D7" s="141">
        <v>1229.17</v>
      </c>
      <c r="E7" s="141">
        <v>1229.17</v>
      </c>
      <c r="F7" s="141">
        <v>1229.17</v>
      </c>
      <c r="G7" s="141">
        <v>1229.17</v>
      </c>
      <c r="H7" s="115"/>
      <c r="I7" s="174">
        <v>1229.17</v>
      </c>
      <c r="J7" s="114" t="s">
        <v>298</v>
      </c>
    </row>
    <row r="8" spans="1:11" ht="15" customHeight="1" x14ac:dyDescent="0.25">
      <c r="A8" s="140" t="s">
        <v>288</v>
      </c>
      <c r="B8" s="133" t="s">
        <v>188</v>
      </c>
      <c r="C8" s="134" t="s">
        <v>267</v>
      </c>
      <c r="D8" s="141">
        <v>1941.33</v>
      </c>
      <c r="E8" s="141">
        <v>2241.33</v>
      </c>
      <c r="F8" s="141">
        <v>1941.33</v>
      </c>
      <c r="G8" s="141">
        <v>2161.33</v>
      </c>
      <c r="H8" s="115"/>
      <c r="I8" s="174">
        <f>F8</f>
        <v>1941.33</v>
      </c>
      <c r="J8" s="114" t="s">
        <v>298</v>
      </c>
    </row>
    <row r="9" spans="1:11" ht="15.75" x14ac:dyDescent="0.25">
      <c r="A9" s="140" t="s">
        <v>289</v>
      </c>
      <c r="B9" s="133" t="s">
        <v>188</v>
      </c>
      <c r="C9" s="134" t="s">
        <v>268</v>
      </c>
      <c r="D9" s="141">
        <v>1966.18</v>
      </c>
      <c r="E9" s="141">
        <v>1966.18</v>
      </c>
      <c r="F9" s="141">
        <v>1966.18</v>
      </c>
      <c r="G9" s="141">
        <v>1966.18</v>
      </c>
      <c r="H9" s="115"/>
      <c r="I9" s="174">
        <v>1966.18</v>
      </c>
      <c r="J9" s="114" t="s">
        <v>298</v>
      </c>
    </row>
    <row r="10" spans="1:11" ht="15.75" x14ac:dyDescent="0.25">
      <c r="A10" s="140" t="s">
        <v>290</v>
      </c>
      <c r="B10" s="137" t="s">
        <v>269</v>
      </c>
      <c r="C10" s="134" t="s">
        <v>270</v>
      </c>
      <c r="D10" s="141">
        <v>3515.13</v>
      </c>
      <c r="E10" s="141">
        <v>3515.13</v>
      </c>
      <c r="F10" s="141">
        <v>3515.13</v>
      </c>
      <c r="G10" s="141">
        <v>3515.13</v>
      </c>
      <c r="H10" s="115"/>
      <c r="I10" s="174">
        <v>3515.13</v>
      </c>
      <c r="J10" s="114" t="s">
        <v>298</v>
      </c>
    </row>
    <row r="11" spans="1:11" ht="15.75" x14ac:dyDescent="0.25">
      <c r="A11" s="140" t="s">
        <v>288</v>
      </c>
      <c r="B11" s="138">
        <v>10040005200120</v>
      </c>
      <c r="C11" s="134" t="s">
        <v>271</v>
      </c>
      <c r="D11" s="141">
        <v>1690</v>
      </c>
      <c r="E11" s="141">
        <v>1790</v>
      </c>
      <c r="F11" s="141">
        <v>1690</v>
      </c>
      <c r="G11" s="141">
        <v>1750</v>
      </c>
      <c r="H11" s="115"/>
      <c r="I11" s="173">
        <f>AVERAGE(D11:G11)</f>
        <v>1730</v>
      </c>
      <c r="J11" s="114" t="s">
        <v>299</v>
      </c>
    </row>
    <row r="12" spans="1:11" ht="15.75" x14ac:dyDescent="0.25">
      <c r="A12" s="140" t="s">
        <v>291</v>
      </c>
      <c r="B12" s="138">
        <v>10040005200120</v>
      </c>
      <c r="C12" s="134" t="s">
        <v>272</v>
      </c>
      <c r="D12" s="141">
        <v>1816.54</v>
      </c>
      <c r="E12" s="141">
        <v>1816.54</v>
      </c>
      <c r="F12" s="141">
        <v>1816.54</v>
      </c>
      <c r="G12" s="141">
        <v>1816.54</v>
      </c>
      <c r="H12" s="115"/>
      <c r="I12" s="174">
        <v>1816.54</v>
      </c>
      <c r="J12" s="114" t="s">
        <v>298</v>
      </c>
    </row>
    <row r="13" spans="1:11" ht="15.75" x14ac:dyDescent="0.25">
      <c r="A13" s="140" t="s">
        <v>190</v>
      </c>
      <c r="B13" s="133" t="s">
        <v>188</v>
      </c>
      <c r="C13" s="134" t="s">
        <v>273</v>
      </c>
      <c r="D13" s="141">
        <v>1645.83</v>
      </c>
      <c r="E13" s="141">
        <v>1765.83</v>
      </c>
      <c r="F13" s="141">
        <v>1645.83</v>
      </c>
      <c r="G13" s="141">
        <v>1745.83</v>
      </c>
      <c r="I13" s="174">
        <f>F13</f>
        <v>1645.83</v>
      </c>
      <c r="J13" s="114" t="s">
        <v>298</v>
      </c>
    </row>
    <row r="14" spans="1:11" ht="15.75" x14ac:dyDescent="0.25">
      <c r="A14" s="140" t="s">
        <v>292</v>
      </c>
      <c r="B14" s="136" t="s">
        <v>189</v>
      </c>
      <c r="C14" s="134" t="s">
        <v>274</v>
      </c>
      <c r="D14" s="141">
        <v>2500</v>
      </c>
      <c r="E14" s="141">
        <v>2500</v>
      </c>
      <c r="F14" s="141">
        <v>2500</v>
      </c>
      <c r="G14" s="141">
        <v>2500</v>
      </c>
      <c r="I14" s="174">
        <v>2500</v>
      </c>
      <c r="J14" s="114" t="s">
        <v>298</v>
      </c>
    </row>
    <row r="15" spans="1:11" ht="15.75" x14ac:dyDescent="0.25">
      <c r="A15" s="140" t="s">
        <v>192</v>
      </c>
      <c r="B15" s="136" t="s">
        <v>188</v>
      </c>
      <c r="C15" s="134" t="s">
        <v>275</v>
      </c>
      <c r="D15" s="141">
        <v>2101.17</v>
      </c>
      <c r="E15" s="141">
        <v>2101.17</v>
      </c>
      <c r="F15" s="141">
        <v>2101.17</v>
      </c>
      <c r="G15" s="141">
        <v>2101.17</v>
      </c>
      <c r="I15" s="174">
        <v>2101.17</v>
      </c>
      <c r="J15" s="114" t="s">
        <v>298</v>
      </c>
    </row>
    <row r="16" spans="1:11" ht="15.75" x14ac:dyDescent="0.25">
      <c r="A16" s="140" t="s">
        <v>293</v>
      </c>
      <c r="B16" s="136" t="s">
        <v>189</v>
      </c>
      <c r="C16" s="134" t="s">
        <v>276</v>
      </c>
      <c r="D16" s="141">
        <v>1270.83</v>
      </c>
      <c r="E16" s="141">
        <v>1270.83</v>
      </c>
      <c r="F16" s="141">
        <v>1270.83</v>
      </c>
      <c r="G16" s="141">
        <v>1270.83</v>
      </c>
      <c r="I16" s="174">
        <v>1270.83</v>
      </c>
      <c r="J16" s="114" t="s">
        <v>298</v>
      </c>
    </row>
    <row r="17" spans="1:10" ht="15.75" x14ac:dyDescent="0.25">
      <c r="A17" s="140" t="s">
        <v>193</v>
      </c>
      <c r="B17" s="133" t="s">
        <v>188</v>
      </c>
      <c r="C17" s="134" t="s">
        <v>277</v>
      </c>
      <c r="D17" s="141">
        <v>1819.67</v>
      </c>
      <c r="E17" s="141">
        <v>2199.67</v>
      </c>
      <c r="F17" s="141">
        <v>1819.67</v>
      </c>
      <c r="G17" s="141">
        <v>2119.67</v>
      </c>
      <c r="I17" s="174">
        <f>F17</f>
        <v>1819.67</v>
      </c>
      <c r="J17" s="114" t="s">
        <v>298</v>
      </c>
    </row>
    <row r="18" spans="1:10" ht="15.75" x14ac:dyDescent="0.25">
      <c r="A18" s="140" t="s">
        <v>191</v>
      </c>
      <c r="B18" s="138">
        <v>10040005200120</v>
      </c>
      <c r="C18" s="134" t="s">
        <v>278</v>
      </c>
      <c r="D18" s="141">
        <v>1814.38</v>
      </c>
      <c r="E18" s="141">
        <v>1814.38</v>
      </c>
      <c r="F18" s="141">
        <v>1814.38</v>
      </c>
      <c r="G18" s="141">
        <v>1814.38</v>
      </c>
      <c r="I18" s="174">
        <v>1814.38</v>
      </c>
      <c r="J18" s="114" t="s">
        <v>298</v>
      </c>
    </row>
    <row r="19" spans="1:10" ht="15.75" x14ac:dyDescent="0.25">
      <c r="A19" s="140" t="s">
        <v>190</v>
      </c>
      <c r="B19" s="133" t="s">
        <v>188</v>
      </c>
      <c r="C19" s="134" t="s">
        <v>279</v>
      </c>
      <c r="D19" s="141">
        <v>1750</v>
      </c>
      <c r="E19" s="141">
        <v>1990</v>
      </c>
      <c r="F19" s="141">
        <v>1750</v>
      </c>
      <c r="G19" s="141">
        <v>1950</v>
      </c>
      <c r="I19" s="173">
        <f>AVERAGE(D19:G19)</f>
        <v>1860</v>
      </c>
      <c r="J19" s="114" t="s">
        <v>299</v>
      </c>
    </row>
    <row r="20" spans="1:10" ht="15.75" x14ac:dyDescent="0.25">
      <c r="A20" s="140" t="s">
        <v>294</v>
      </c>
      <c r="B20" s="136" t="s">
        <v>189</v>
      </c>
      <c r="C20" s="134" t="s">
        <v>280</v>
      </c>
      <c r="D20" s="141">
        <v>1415.25</v>
      </c>
      <c r="E20" s="141">
        <v>1415.25</v>
      </c>
      <c r="F20" s="141">
        <v>1415.25</v>
      </c>
      <c r="G20" s="141">
        <v>1415.25</v>
      </c>
      <c r="I20" s="174">
        <v>1415.25</v>
      </c>
      <c r="J20" s="114" t="s">
        <v>298</v>
      </c>
    </row>
    <row r="21" spans="1:10" ht="15.75" x14ac:dyDescent="0.25">
      <c r="A21" s="140" t="s">
        <v>191</v>
      </c>
      <c r="B21" s="138">
        <v>10040005200120</v>
      </c>
      <c r="C21" s="134" t="s">
        <v>281</v>
      </c>
      <c r="D21" s="141">
        <v>2194.88</v>
      </c>
      <c r="E21" s="141">
        <v>2234.75</v>
      </c>
      <c r="F21" s="141">
        <v>2194.88</v>
      </c>
      <c r="G21" s="141">
        <v>2194.88</v>
      </c>
      <c r="I21" s="173">
        <f>AVERAGE(D21:G21)</f>
        <v>2204.8474999999999</v>
      </c>
      <c r="J21" s="114" t="s">
        <v>299</v>
      </c>
    </row>
    <row r="22" spans="1:10" ht="15.75" x14ac:dyDescent="0.25">
      <c r="A22" s="134" t="s">
        <v>295</v>
      </c>
      <c r="B22" s="138">
        <v>10040005200120</v>
      </c>
      <c r="C22" s="134" t="s">
        <v>282</v>
      </c>
      <c r="D22" s="141">
        <v>577.5</v>
      </c>
      <c r="E22" s="141">
        <v>0</v>
      </c>
      <c r="F22" s="141">
        <v>577.5</v>
      </c>
      <c r="G22" s="141">
        <v>892.5</v>
      </c>
      <c r="I22" s="173">
        <f>AVERAGE(D22,F22:G22)</f>
        <v>682.5</v>
      </c>
      <c r="J22" s="114" t="s">
        <v>299</v>
      </c>
    </row>
    <row r="23" spans="1:10" x14ac:dyDescent="0.2">
      <c r="I23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</vt:lpstr>
      <vt:lpstr>Revenue Input</vt:lpstr>
      <vt:lpstr>Payroll Input</vt:lpstr>
      <vt:lpstr>Expense Input</vt:lpstr>
      <vt:lpstr>FY16</vt:lpstr>
      <vt:lpstr>FY16DJB</vt:lpstr>
      <vt:lpstr>PR</vt:lpstr>
      <vt:lpstr>EnrNew</vt:lpstr>
      <vt:lpstr>EnrOld</vt:lpstr>
      <vt:lpstr>Inf</vt:lpstr>
      <vt:lpstr>Budget!Print_Titles</vt:lpstr>
      <vt:lpstr>'Expense Input'!Print_Titles</vt:lpstr>
      <vt:lpstr>'Payroll Input'!Print_Titles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Scott</dc:creator>
  <cp:lastModifiedBy>Donna L. Hulbert</cp:lastModifiedBy>
  <cp:lastPrinted>2016-08-18T13:48:33Z</cp:lastPrinted>
  <dcterms:created xsi:type="dcterms:W3CDTF">2005-10-24T23:59:04Z</dcterms:created>
  <dcterms:modified xsi:type="dcterms:W3CDTF">2016-08-18T14:12:48Z</dcterms:modified>
</cp:coreProperties>
</file>